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4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PAVER" sheetId="12" r:id="rId12"/>
    <sheet name="TATIL" sheetId="13" r:id="rId13"/>
    <sheet name="BDI " sheetId="14" r:id="rId14"/>
  </sheets>
  <externalReferences>
    <externalReference r:id="rId17"/>
  </externalReferences>
  <definedNames>
    <definedName name="_xlfn.AVERAGEIF" hidden="1">#NAME?</definedName>
    <definedName name="_xlfn.SUMIFS" hidden="1">#NAME?</definedName>
    <definedName name="_xlnm.Print_Area" localSheetId="13">'BDI '!$A$1:$C$32</definedName>
    <definedName name="_xlnm.Print_Area" localSheetId="10">'CL Ø40 e Ø 60'!$A$1:$F$48</definedName>
    <definedName name="_xlnm.Print_Area" localSheetId="6">'CRONOGRAMA'!$A$1:$P$64</definedName>
    <definedName name="_xlnm.Print_Area" localSheetId="2">'Drenagem'!$A$1:$M$32</definedName>
    <definedName name="_xlnm.Print_Area" localSheetId="3">'Escavação'!$A$1:$W$52</definedName>
    <definedName name="_xlnm.Print_Area" localSheetId="7">'MEDIÇÃO'!$A$1:$O$49</definedName>
    <definedName name="_xlnm.Print_Area" localSheetId="4">'MEMORIAL'!$A$1:$F$65</definedName>
    <definedName name="_xlnm.Print_Area" localSheetId="5">'ORÇAMENTO'!$A$1:$I$62</definedName>
    <definedName name="_xlnm.Print_Area" localSheetId="11">'PAVER'!$A$1:$F$46</definedName>
    <definedName name="_xlnm.Print_Area" localSheetId="9">'PV Ø40 e Ø 60'!$A$1:$F$48</definedName>
    <definedName name="_xlnm.Print_Area" localSheetId="12">'TATIL'!$A$1:$F$48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'ORÇAMENTO'!$A$59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<sst xmlns="http://schemas.openxmlformats.org/spreadsheetml/2006/main" count="1185" uniqueCount="608">
  <si>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</si>
  <si>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</si>
  <si>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</si>
  <si>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</si>
  <si>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</si>
  <si>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</si>
  <si>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</si>
  <si>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</si>
  <si>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</si>
  <si>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</si>
  <si>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</si>
  <si>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</si>
  <si>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</si>
  <si>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</si>
  <si>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</si>
  <si>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</si>
  <si>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</si>
  <si>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</si>
  <si>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</si>
  <si>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</si>
  <si>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</si>
  <si>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</si>
  <si>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</si>
  <si>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</si>
  <si>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</si>
  <si>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</si>
  <si>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</si>
  <si>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</si>
  <si>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</si>
  <si>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</si>
  <si>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</si>
  <si>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</si>
  <si>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</si>
  <si>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</si>
  <si>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</si>
  <si>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</si>
  <si>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</si>
  <si>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</si>
  <si>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</si>
  <si>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</si>
  <si>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</si>
  <si>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</si>
  <si>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</si>
  <si>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</si>
  <si>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</si>
  <si>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</si>
  <si>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</si>
  <si>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</si>
  <si>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</si>
  <si>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</si>
  <si>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</si>
  <si>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</si>
  <si>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</si>
  <si>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</si>
  <si>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</si>
  <si>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</si>
  <si>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</si>
  <si>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</si>
  <si>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</si>
  <si>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</si>
  <si>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</si>
  <si>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</si>
  <si>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</si>
  <si>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</si>
  <si>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</si>
  <si>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</si>
  <si>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</si>
  <si>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</si>
  <si>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</si>
  <si>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</si>
  <si>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</si>
  <si>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</si>
  <si>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</si>
  <si>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</si>
  <si>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</si>
  <si>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</si>
  <si>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</si>
  <si>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</si>
  <si>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</si>
  <si>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</si>
  <si>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</si>
  <si>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</si>
  <si>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</si>
  <si>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</si>
  <si>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</si>
  <si>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</si>
  <si>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</si>
  <si>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</si>
  <si>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</si>
  <si>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</si>
  <si>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</si>
  <si>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</si>
  <si>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</si>
  <si>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</si>
  <si>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</si>
  <si>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</si>
  <si>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</si>
  <si>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</si>
  <si>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</si>
  <si>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</si>
  <si>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</si>
  <si>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</si>
  <si>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</si>
  <si>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</si>
  <si>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</si>
  <si>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</si>
  <si>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</si>
  <si>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</si>
  <si>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</si>
  <si>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</si>
  <si>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</si>
  <si>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</si>
  <si>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</si>
  <si>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</si>
  <si>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</si>
  <si>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</si>
  <si>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</si>
  <si>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</si>
  <si>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</si>
  <si>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</si>
  <si>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</si>
  <si>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</si>
  <si>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</si>
  <si>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</si>
  <si>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</si>
  <si>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</si>
  <si>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</si>
  <si>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</si>
  <si>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</si>
  <si>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</si>
  <si>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</si>
  <si>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</si>
  <si>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</si>
  <si>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</si>
  <si>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</si>
  <si>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</si>
  <si>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</si>
  <si>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</si>
  <si>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</si>
  <si>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</si>
  <si>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</si>
  <si>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</si>
  <si>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</si>
  <si>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</si>
  <si>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</si>
  <si>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</si>
  <si>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</si>
  <si>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</si>
  <si>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</si>
  <si>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</si>
  <si>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</si>
  <si>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</si>
  <si>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</si>
  <si>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</si>
  <si>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</si>
  <si>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</si>
  <si>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</si>
  <si>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</si>
  <si>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</si>
  <si>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</si>
  <si>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</si>
  <si>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</si>
  <si>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</si>
  <si>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</si>
  <si>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</si>
  <si>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</si>
  <si>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</si>
  <si>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</si>
  <si>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</si>
  <si>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</si>
  <si>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</si>
  <si>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</si>
  <si>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</si>
  <si>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</si>
  <si>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</si>
  <si>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</si>
  <si>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</si>
  <si>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</si>
  <si>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</si>
  <si>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</si>
  <si>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</si>
  <si>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</si>
  <si>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</si>
  <si>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</si>
  <si>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</si>
  <si>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</si>
  <si>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</si>
  <si>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</si>
  <si>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</si>
  <si>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</si>
  <si>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</si>
  <si>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</si>
  <si>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</si>
  <si>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</si>
  <si>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</si>
  <si>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</si>
  <si>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</si>
  <si>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</si>
  <si>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</si>
  <si>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</si>
  <si>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</si>
  <si>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</si>
  <si>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</si>
  <si>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</si>
  <si>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</si>
  <si>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</si>
  <si>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</si>
  <si>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</si>
  <si>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</si>
  <si>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</si>
  <si>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</si>
  <si>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</si>
  <si>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</si>
  <si>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</si>
  <si>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</si>
  <si>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</si>
  <si>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</si>
  <si>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</si>
  <si>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</si>
  <si>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</si>
  <si>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</si>
  <si>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</si>
  <si>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</si>
  <si>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</si>
  <si>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</si>
  <si>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</si>
  <si>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</si>
  <si>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</si>
  <si>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</si>
  <si>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</si>
  <si>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</si>
  <si>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</si>
  <si>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</si>
  <si>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</si>
  <si>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</si>
  <si>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</si>
  <si>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</si>
  <si>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</si>
  <si>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</si>
  <si>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</si>
  <si>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</si>
  <si>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</si>
  <si>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</si>
  <si>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</si>
  <si>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</si>
  <si>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</si>
  <si>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</si>
  <si>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</si>
  <si>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</si>
  <si>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</si>
  <si>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</si>
  <si>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</si>
  <si>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</si>
  <si>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</si>
  <si>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</si>
  <si>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</si>
  <si>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</si>
  <si>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</si>
  <si>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</si>
  <si>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</si>
  <si>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</si>
  <si>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</si>
  <si>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</si>
  <si>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</si>
  <si>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</si>
  <si>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</si>
  <si>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</si>
  <si>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</si>
  <si>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</si>
  <si>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</si>
  <si>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</si>
  <si>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</si>
  <si>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</si>
  <si>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</si>
  <si>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</si>
  <si>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</si>
  <si>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</si>
  <si>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</si>
  <si>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</si>
  <si>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</si>
  <si>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</si>
  <si>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</si>
  <si>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</si>
  <si>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</si>
  <si>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</si>
  <si>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</si>
  <si>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</si>
  <si>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</si>
  <si>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</si>
  <si>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</si>
  <si>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</si>
  <si>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</si>
  <si>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</si>
  <si>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</si>
  <si>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</si>
  <si>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</si>
  <si>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</si>
  <si>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</si>
  <si>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</si>
  <si>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</si>
  <si>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</si>
  <si>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</si>
  <si>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</si>
  <si>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</si>
  <si>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</si>
  <si>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</si>
  <si>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</si>
  <si>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</si>
  <si>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</si>
  <si>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</si>
  <si>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</si>
  <si>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</si>
  <si>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</si>
  <si>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</si>
  <si>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</si>
  <si>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</si>
  <si>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</si>
  <si>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</si>
  <si>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</si>
  <si>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</si>
  <si>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</si>
  <si>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</si>
  <si>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</si>
  <si>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</si>
  <si>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</si>
  <si>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</si>
  <si>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</si>
  <si>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</si>
  <si>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</si>
  <si>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</si>
  <si>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</si>
  <si>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</si>
  <si>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</si>
  <si>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</si>
  <si>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</si>
  <si>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</si>
  <si>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</si>
  <si>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</si>
  <si>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</si>
  <si>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</si>
  <si>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</si>
  <si>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</si>
  <si>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</si>
  <si>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</si>
  <si>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</si>
  <si>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</si>
  <si>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</si>
  <si>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</si>
  <si>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</si>
  <si>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</si>
  <si>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</si>
  <si>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</si>
  <si>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</si>
  <si>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</si>
  <si>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</si>
  <si>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</si>
  <si>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</si>
  <si>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</si>
  <si>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</si>
  <si>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</si>
  <si>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</si>
  <si>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</si>
  <si>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</si>
  <si>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</si>
  <si>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</si>
  <si>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</si>
  <si>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</si>
  <si>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</si>
  <si>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</si>
  <si>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</si>
  <si>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</si>
  <si>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</si>
  <si>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</si>
  <si>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</si>
  <si>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</si>
  <si>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</si>
  <si>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</si>
  <si>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</si>
  <si>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</si>
  <si>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</si>
  <si>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</si>
  <si>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</si>
  <si>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</si>
  <si>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</si>
  <si>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</si>
  <si>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</si>
  <si>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</si>
  <si>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</si>
  <si>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</si>
  <si>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</si>
  <si>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</si>
  <si>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</si>
  <si>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</si>
  <si>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</si>
  <si>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</si>
  <si>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</si>
  <si>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</si>
  <si>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</si>
  <si>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</si>
  <si>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</si>
  <si>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</si>
  <si>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</si>
  <si>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</si>
  <si>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</si>
  <si>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</si>
  <si>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</si>
  <si>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</si>
  <si>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</si>
  <si>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</si>
  <si>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</si>
  <si>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</si>
  <si>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</si>
  <si>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</si>
  <si>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</si>
  <si>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</si>
  <si>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</si>
  <si>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</si>
  <si>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</si>
  <si>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</si>
  <si>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</si>
  <si>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</si>
  <si>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</si>
  <si>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</si>
  <si>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</si>
  <si>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</si>
  <si>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</si>
  <si>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</si>
  <si>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</si>
  <si>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</si>
  <si>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</si>
  <si>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</si>
  <si>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</si>
  <si>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</si>
  <si>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</si>
  <si>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 xml:space="preserve">RUA </t>
  </si>
  <si>
    <t>PAVIMENTAÇÃO PASSEIO</t>
  </si>
  <si>
    <t>Meio-fio interno 15 x 30 x 80 cm - incluindo rejunte e reaterro - fck=25 MPa</t>
  </si>
  <si>
    <t>4.3</t>
  </si>
  <si>
    <t>4.4</t>
  </si>
  <si>
    <t>4.5</t>
  </si>
  <si>
    <t>RAMPA ACESSO PASSEIO DEFICIENTE FÍSICO</t>
  </si>
  <si>
    <t>Concreto simples h=7 cm, virado em betoneira fck=20 MPa</t>
  </si>
  <si>
    <t>Pintura símbolo Deficiente Físico - Cor fundo azul 60 x 60 cm</t>
  </si>
  <si>
    <t>Pintura símbolo Deficiente Físico - Pictograma cor branca</t>
  </si>
  <si>
    <t>5.1</t>
  </si>
  <si>
    <t>5.2</t>
  </si>
  <si>
    <t>5.3</t>
  </si>
  <si>
    <t>Pintura faixa de travessia de pedestres zebrada - FTP-1 cor branca</t>
  </si>
  <si>
    <t>6.1</t>
  </si>
  <si>
    <t>6.2</t>
  </si>
  <si>
    <t>6.3</t>
  </si>
  <si>
    <t>Boca de lobo</t>
  </si>
  <si>
    <t>6.4</t>
  </si>
  <si>
    <t>Sinalização tátil de alerta 20 x 20 x 6 cm fck=35 MPa</t>
  </si>
  <si>
    <t>Carga mecanizada e remoção de excedentes com transporte até 1 km</t>
  </si>
  <si>
    <t>Setembro/2013                  PLANILHA DE COMPOSIÇÃO DO BDI                  Folha 01/01</t>
  </si>
  <si>
    <t>______________________________</t>
  </si>
  <si>
    <t>6.5</t>
  </si>
  <si>
    <t>Pavimento intertravado paver holand cinza 20 x 10 x 6 cm fck=35 MPa</t>
  </si>
  <si>
    <t>6.6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</si>
  <si>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</si>
  <si>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</si>
  <si>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</si>
  <si>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</si>
  <si>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</si>
  <si>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</si>
  <si>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</si>
  <si>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</si>
  <si>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</si>
  <si>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</si>
  <si>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</si>
  <si>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</si>
  <si>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</si>
  <si>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</si>
  <si>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</si>
  <si>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</si>
  <si>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</si>
  <si>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</si>
  <si>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</si>
  <si>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</si>
  <si>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</si>
  <si>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</si>
  <si>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</si>
  <si>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</si>
  <si>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</si>
  <si>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</si>
  <si>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</si>
  <si>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</si>
  <si>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</si>
  <si>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</si>
  <si>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</si>
  <si>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</si>
  <si>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</si>
  <si>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</si>
  <si>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</si>
  <si>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</si>
  <si>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</si>
  <si>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</si>
  <si>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</si>
  <si>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</si>
  <si>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</si>
  <si>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</si>
  <si>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</si>
  <si>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</si>
  <si>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</si>
  <si>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</si>
  <si>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</si>
  <si>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</si>
  <si>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</si>
  <si>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</si>
  <si>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</si>
  <si>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</si>
  <si>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</si>
  <si>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</si>
  <si>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</si>
  <si>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</si>
  <si>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</si>
  <si>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</si>
  <si>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</si>
  <si>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</si>
  <si>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</si>
  <si>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</si>
  <si>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</si>
  <si>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</si>
  <si>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</si>
  <si>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</si>
  <si>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</si>
  <si>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</si>
  <si>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</si>
  <si>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</si>
  <si>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</si>
  <si>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</si>
  <si>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</si>
  <si>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</si>
  <si>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</si>
  <si>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</si>
  <si>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</si>
  <si>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</si>
  <si>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</si>
  <si>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</si>
  <si>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</si>
  <si>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</si>
  <si>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</si>
  <si>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</si>
  <si>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</si>
  <si>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</si>
  <si>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</si>
  <si>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</si>
  <si>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</si>
  <si>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</si>
  <si>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</si>
  <si>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</si>
  <si>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</si>
  <si>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73881/001</t>
  </si>
  <si>
    <t>COMPOSIÇÃO</t>
  </si>
  <si>
    <t>PAVIMENTAÇÃO COM LAJOTAS SEXTAVADAS</t>
  </si>
  <si>
    <t>3.0</t>
  </si>
  <si>
    <t>72961</t>
  </si>
  <si>
    <t>4.0</t>
  </si>
  <si>
    <t>5.0</t>
  </si>
  <si>
    <t>6.0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</si>
  <si>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</si>
  <si>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</si>
  <si>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>Sinalização tátil direcional 20 x 20 x 6 cm fck=35 MPa</t>
  </si>
  <si>
    <t>4.6</t>
  </si>
  <si>
    <t>JOSÉ AMANDIO</t>
  </si>
  <si>
    <t xml:space="preserve">PAVIMENTAÇÃO COM LAJOTAS SEXTAVADAS E DRENAGEM PLUVIAL </t>
  </si>
  <si>
    <t>NOME E Nº CREA DO RESPONSÁVEL TÉCNICO:      </t>
  </si>
  <si>
    <t>CREA:      </t>
  </si>
  <si>
    <t xml:space="preserve">CABRITO - </t>
  </si>
  <si>
    <t xml:space="preserve">CL 9 </t>
  </si>
  <si>
    <t>CL 10</t>
  </si>
  <si>
    <t>CL 11</t>
  </si>
  <si>
    <t>CL 12</t>
  </si>
  <si>
    <t>934,80 m² x 0,05 m =</t>
  </si>
  <si>
    <t>49,00 m² x 0,07 m =</t>
  </si>
  <si>
    <t>12,56 m2 x 4,00 und =</t>
  </si>
  <si>
    <t>0,29 m2 x 4,00 und =</t>
  </si>
  <si>
    <t>0,29 m2 x 1,00 und =</t>
  </si>
  <si>
    <t>0,30 m2 x 5,00 und =</t>
  </si>
  <si>
    <t>0,36 m2 x 8,00 und =</t>
  </si>
  <si>
    <t>PAVER</t>
  </si>
  <si>
    <t>TATIL</t>
  </si>
  <si>
    <t>0,60 x 0,60 m x 8,00 und =</t>
  </si>
  <si>
    <t>0,0390 m² x 8,00 und =</t>
  </si>
  <si>
    <t>Assentamento de tubos de concreto diametro de 30 cm., armado ou simples</t>
  </si>
  <si>
    <t>Assentamento de tubos de concreto diametro de 40 cm., armado ou simples</t>
  </si>
  <si>
    <t>Tubo de concreto simples classe - PS2 - NBR-8890 de Ø 30 cm, para águas pluviais</t>
  </si>
  <si>
    <t>Tubo de concreto armado classe - PA2 PB NBR-8890/2007 de Ø 40 cm, para águas pluviais</t>
  </si>
  <si>
    <t>2.11</t>
  </si>
  <si>
    <t>2.12</t>
  </si>
  <si>
    <t>Data de referência dos custos: Janeiro de 2014 - c/ Desoneração</t>
  </si>
  <si>
    <t>Areia grossa - posto jazida</t>
  </si>
  <si>
    <t>xxxx</t>
  </si>
  <si>
    <t>Servente</t>
  </si>
  <si>
    <t>Material para aterro/reaterro (barro, argila ou saibro) - com transporte até 10 km</t>
  </si>
  <si>
    <t>Regularização e compactação manual de terreno com soquete</t>
  </si>
  <si>
    <t>934,80 m² =</t>
  </si>
  <si>
    <t xml:space="preserve">Pavimentação com lajotas sextavadas - (30 cm x 30 cm x 8 cm) - fck=35 </t>
  </si>
  <si>
    <t>Placa de regulamentação R-1 - (Parada obrigatória)*</t>
  </si>
  <si>
    <t>Placa regulamentadora R-19- (Velocidade maxima permitida)*</t>
  </si>
  <si>
    <t>Placa de advertência A-32b - (Passagem sinalizada de pedestres)*</t>
  </si>
  <si>
    <t>Placa de advertência A-45 - (Rua sem saída)*</t>
  </si>
  <si>
    <t>6.7</t>
  </si>
  <si>
    <t>Tubo de aço galvanizado c/ costura DIN 2440/NBR 5580 classe media DN 1.1/4" (32mm) e=3,25mm - 3,14kg/m</t>
  </si>
  <si>
    <t>3,10 m x 18,00 und =</t>
  </si>
  <si>
    <t>* 4S 06 200 02 - 1 A 01 870 01 - R$ 328,48 - R$ 30,23 = R$ 298,25</t>
  </si>
  <si>
    <t>SINAPI - 01/01/2014 - COM DESONERAÇÃO - SICRO 01/11/2013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</si>
</sst>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1179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4" applyFont="1" applyFill="1" applyBorder="1" applyAlignment="1">
      <alignment/>
    </xf>
    <xf numFmtId="171" fontId="2" fillId="0" borderId="0" xfId="64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15" fillId="0" borderId="0" xfId="64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170" fontId="93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/>
    </xf>
    <xf numFmtId="171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171" fontId="4" fillId="42" borderId="12" xfId="0" applyNumberFormat="1" applyFont="1" applyFill="1" applyBorder="1" applyAlignment="1">
      <alignment horizontal="right"/>
    </xf>
    <xf numFmtId="8" fontId="0" fillId="42" borderId="0" xfId="0" applyNumberFormat="1" applyFont="1" applyFill="1" applyAlignment="1">
      <alignment/>
    </xf>
    <xf numFmtId="43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171" fontId="4" fillId="0" borderId="12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170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170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171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5" borderId="0" xfId="52" applyFill="1" applyBorder="1">
      <alignment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5" borderId="0" xfId="52" applyFont="1" applyFill="1" applyBorder="1">
      <alignment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40" borderId="0" xfId="52" applyFont="1" applyFill="1" applyBorder="1">
      <alignment/>
      <protection/>
    </xf>
    <xf numFmtId="0" fontId="0" fillId="46" borderId="0" xfId="52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top" wrapText="1"/>
      <protection/>
    </xf>
    <xf numFmtId="179" fontId="1" fillId="33" borderId="12" xfId="52" applyNumberFormat="1" applyFont="1" applyFill="1" applyBorder="1" applyAlignment="1">
      <alignment horizontal="center" vertical="top" wrapText="1"/>
      <protection/>
    </xf>
    <xf numFmtId="176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12" xfId="52" applyNumberFormat="1" applyFont="1" applyFill="1" applyBorder="1" applyAlignment="1">
      <alignment horizontal="center" vertical="top" wrapText="1"/>
      <protection/>
    </xf>
    <xf numFmtId="39" fontId="1" fillId="33" borderId="12" xfId="52" applyNumberFormat="1" applyFont="1" applyFill="1" applyBorder="1" applyAlignment="1">
      <alignment horizontal="center" vertical="top" wrapText="1"/>
      <protection/>
    </xf>
    <xf numFmtId="2" fontId="1" fillId="33" borderId="12" xfId="52" applyNumberFormat="1" applyFont="1" applyFill="1" applyBorder="1" applyAlignment="1">
      <alignment horizontal="center" vertical="top" wrapText="1"/>
      <protection/>
    </xf>
    <xf numFmtId="175" fontId="1" fillId="33" borderId="55" xfId="52" applyNumberFormat="1" applyFont="1" applyFill="1" applyBorder="1" applyAlignment="1">
      <alignment horizontal="center" vertical="top" wrapText="1"/>
      <protection/>
    </xf>
    <xf numFmtId="172" fontId="1" fillId="33" borderId="55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center" wrapText="1"/>
      <protection/>
    </xf>
    <xf numFmtId="179" fontId="1" fillId="33" borderId="12" xfId="52" applyNumberFormat="1" applyFont="1" applyFill="1" applyBorder="1" applyAlignment="1">
      <alignment horizontal="center" vertical="center" wrapText="1"/>
      <protection/>
    </xf>
    <xf numFmtId="176" fontId="1" fillId="33" borderId="12" xfId="52" applyNumberFormat="1" applyFont="1" applyFill="1" applyBorder="1" applyAlignment="1">
      <alignment horizontal="center" vertical="center" wrapText="1"/>
      <protection/>
    </xf>
    <xf numFmtId="173" fontId="1" fillId="33" borderId="12" xfId="52" applyNumberFormat="1" applyFont="1" applyFill="1" applyBorder="1" applyAlignment="1">
      <alignment horizontal="center" vertical="center" wrapText="1"/>
      <protection/>
    </xf>
    <xf numFmtId="39" fontId="1" fillId="33" borderId="12" xfId="52" applyNumberFormat="1" applyFont="1" applyFill="1" applyBorder="1" applyAlignment="1">
      <alignment horizontal="center" vertical="center" wrapText="1"/>
      <protection/>
    </xf>
    <xf numFmtId="2" fontId="1" fillId="33" borderId="12" xfId="52" applyNumberFormat="1" applyFont="1" applyFill="1" applyBorder="1" applyAlignment="1">
      <alignment horizontal="center" vertical="center" wrapText="1"/>
      <protection/>
    </xf>
    <xf numFmtId="179" fontId="1" fillId="0" borderId="12" xfId="52" applyNumberFormat="1" applyFont="1" applyFill="1" applyBorder="1" applyAlignment="1">
      <alignment horizontal="center" vertical="top" wrapText="1"/>
      <protection/>
    </xf>
    <xf numFmtId="173" fontId="1" fillId="0" borderId="12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179" fontId="1" fillId="33" borderId="36" xfId="52" applyNumberFormat="1" applyFont="1" applyFill="1" applyBorder="1" applyAlignment="1">
      <alignment horizontal="center" vertical="top" wrapText="1"/>
      <protection/>
    </xf>
    <xf numFmtId="179" fontId="1" fillId="0" borderId="36" xfId="52" applyNumberFormat="1" applyFont="1" applyFill="1" applyBorder="1" applyAlignment="1">
      <alignment horizontal="center" vertical="top" wrapText="1"/>
      <protection/>
    </xf>
    <xf numFmtId="176" fontId="1" fillId="0" borderId="12" xfId="52" applyNumberFormat="1" applyFont="1" applyFill="1" applyBorder="1" applyAlignment="1">
      <alignment horizontal="center" vertical="top" wrapText="1"/>
      <protection/>
    </xf>
    <xf numFmtId="39" fontId="1" fillId="0" borderId="12" xfId="52" applyNumberFormat="1" applyFont="1" applyFill="1" applyBorder="1" applyAlignment="1">
      <alignment horizontal="center" vertical="top" wrapText="1"/>
      <protection/>
    </xf>
    <xf numFmtId="2" fontId="1" fillId="0" borderId="12" xfId="52" applyNumberFormat="1" applyFont="1" applyFill="1" applyBorder="1" applyAlignment="1">
      <alignment horizontal="center" vertical="top" wrapText="1"/>
      <protection/>
    </xf>
    <xf numFmtId="172" fontId="1" fillId="0" borderId="55" xfId="52" applyNumberFormat="1" applyFont="1" applyFill="1" applyBorder="1" applyAlignment="1">
      <alignment horizontal="center" vertical="top" wrapText="1"/>
      <protection/>
    </xf>
    <xf numFmtId="0" fontId="0" fillId="33" borderId="58" xfId="52" applyFont="1" applyFill="1" applyBorder="1" applyAlignment="1">
      <alignment horizontal="left"/>
      <protection/>
    </xf>
    <xf numFmtId="0" fontId="0" fillId="33" borderId="59" xfId="52" applyFont="1" applyFill="1" applyBorder="1" applyAlignment="1">
      <alignment horizontal="left"/>
      <protection/>
    </xf>
    <xf numFmtId="0" fontId="0" fillId="33" borderId="60" xfId="52" applyFill="1" applyBorder="1" applyAlignment="1">
      <alignment horizontal="center"/>
      <protection/>
    </xf>
    <xf numFmtId="0" fontId="0" fillId="33" borderId="58" xfId="52" applyFill="1" applyBorder="1" applyAlignment="1">
      <alignment horizontal="left"/>
      <protection/>
    </xf>
    <xf numFmtId="0" fontId="0" fillId="33" borderId="59" xfId="52" applyFill="1" applyBorder="1" applyAlignment="1">
      <alignment horizontal="center"/>
      <protection/>
    </xf>
    <xf numFmtId="0" fontId="0" fillId="33" borderId="61" xfId="52" applyFill="1" applyBorder="1" applyAlignment="1">
      <alignment horizontal="center"/>
      <protection/>
    </xf>
    <xf numFmtId="0" fontId="9" fillId="33" borderId="62" xfId="52" applyFont="1" applyFill="1" applyBorder="1">
      <alignment/>
      <protection/>
    </xf>
    <xf numFmtId="0" fontId="9" fillId="33" borderId="63" xfId="52" applyNumberFormat="1" applyFont="1" applyFill="1" applyBorder="1" applyAlignment="1">
      <alignment horizontal="center"/>
      <protection/>
    </xf>
    <xf numFmtId="0" fontId="9" fillId="33" borderId="64" xfId="52" applyFont="1" applyFill="1" applyBorder="1" applyAlignment="1">
      <alignment horizontal="left"/>
      <protection/>
    </xf>
    <xf numFmtId="0" fontId="0" fillId="0" borderId="65" xfId="52" applyBorder="1">
      <alignment/>
      <protection/>
    </xf>
    <xf numFmtId="0" fontId="0" fillId="0" borderId="63" xfId="52" applyBorder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4" fillId="33" borderId="65" xfId="52" applyNumberFormat="1" applyFont="1" applyFill="1" applyBorder="1" applyAlignment="1">
      <alignment/>
      <protection/>
    </xf>
    <xf numFmtId="0" fontId="0" fillId="33" borderId="63" xfId="52" applyFill="1" applyBorder="1" applyAlignment="1">
      <alignment horizontal="right"/>
      <protection/>
    </xf>
    <xf numFmtId="173" fontId="0" fillId="33" borderId="63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50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left"/>
      <protection/>
    </xf>
    <xf numFmtId="0" fontId="0" fillId="33" borderId="66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1" xfId="52" applyFill="1" applyBorder="1" applyAlignment="1">
      <alignment horizontal="right"/>
      <protection/>
    </xf>
    <xf numFmtId="0" fontId="4" fillId="33" borderId="66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1" xfId="52" applyFill="1" applyBorder="1" applyAlignment="1">
      <alignment horizontal="left"/>
      <protection/>
    </xf>
    <xf numFmtId="0" fontId="0" fillId="33" borderId="12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67" xfId="52" applyFont="1" applyFill="1" applyBorder="1" applyAlignment="1">
      <alignment horizontal="left"/>
      <protection/>
    </xf>
    <xf numFmtId="0" fontId="0" fillId="33" borderId="68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67" xfId="52" applyFill="1" applyBorder="1" applyAlignment="1">
      <alignment horizontal="right"/>
      <protection/>
    </xf>
    <xf numFmtId="0" fontId="12" fillId="33" borderId="68" xfId="52" applyNumberFormat="1" applyFont="1" applyFill="1" applyBorder="1" applyAlignment="1">
      <alignment horizontal="right"/>
      <protection/>
    </xf>
    <xf numFmtId="0" fontId="0" fillId="33" borderId="67" xfId="52" applyFill="1" applyBorder="1" applyAlignment="1">
      <alignment horizontal="center"/>
      <protection/>
    </xf>
    <xf numFmtId="0" fontId="0" fillId="33" borderId="26" xfId="52" applyFill="1" applyBorder="1" applyAlignment="1">
      <alignment horizontal="center"/>
      <protection/>
    </xf>
    <xf numFmtId="49" fontId="0" fillId="33" borderId="42" xfId="52" applyNumberFormat="1" applyFill="1" applyBorder="1" applyAlignment="1">
      <alignment horizontal="left"/>
      <protection/>
    </xf>
    <xf numFmtId="0" fontId="0" fillId="33" borderId="69" xfId="52" applyFill="1" applyBorder="1" applyAlignment="1">
      <alignment horizontal="left"/>
      <protection/>
    </xf>
    <xf numFmtId="0" fontId="0" fillId="33" borderId="47" xfId="52" applyFill="1" applyBorder="1">
      <alignment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33" borderId="47" xfId="52" applyFill="1" applyBorder="1" applyAlignment="1">
      <alignment horizontal="left"/>
      <protection/>
    </xf>
    <xf numFmtId="0" fontId="0" fillId="33" borderId="50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52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4" xfId="52" applyNumberFormat="1" applyFont="1" applyFill="1" applyBorder="1" applyAlignment="1">
      <alignment horizontal="center"/>
      <protection/>
    </xf>
    <xf numFmtId="0" fontId="0" fillId="33" borderId="24" xfId="52" applyFill="1" applyBorder="1" applyAlignment="1">
      <alignment horizontal="right"/>
      <protection/>
    </xf>
    <xf numFmtId="173" fontId="0" fillId="33" borderId="24" xfId="52" applyNumberFormat="1" applyFill="1" applyBorder="1" applyAlignment="1">
      <alignment horizontal="center"/>
      <protection/>
    </xf>
    <xf numFmtId="0" fontId="0" fillId="33" borderId="24" xfId="52" applyFill="1" applyBorder="1" applyAlignment="1">
      <alignment horizontal="left"/>
      <protection/>
    </xf>
    <xf numFmtId="0" fontId="0" fillId="33" borderId="24" xfId="52" applyFill="1" applyBorder="1" applyAlignment="1">
      <alignment/>
      <protection/>
    </xf>
    <xf numFmtId="0" fontId="0" fillId="33" borderId="49" xfId="52" applyFill="1" applyBorder="1" applyAlignment="1">
      <alignment/>
      <protection/>
    </xf>
    <xf numFmtId="0" fontId="4" fillId="42" borderId="12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171" fontId="4" fillId="42" borderId="23" xfId="0" applyNumberFormat="1" applyFont="1" applyFill="1" applyBorder="1" applyAlignment="1">
      <alignment horizontal="center"/>
    </xf>
    <xf numFmtId="0" fontId="41" fillId="33" borderId="0" xfId="52" applyFont="1" applyFill="1">
      <alignment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0" fillId="33" borderId="63" xfId="52" applyFont="1" applyFill="1" applyBorder="1" applyAlignment="1">
      <alignment vertical="center" wrapText="1"/>
      <protection/>
    </xf>
    <xf numFmtId="0" fontId="0" fillId="33" borderId="63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70" xfId="52" applyFill="1" applyBorder="1" applyAlignment="1">
      <alignment horizontal="left" vertical="center" wrapText="1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71" xfId="0" applyNumberFormat="1" applyFont="1" applyFill="1" applyBorder="1" applyAlignment="1">
      <alignment horizontal="right"/>
    </xf>
    <xf numFmtId="10" fontId="9" fillId="42" borderId="69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171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17" fillId="42" borderId="44" xfId="53" applyNumberFormat="1" applyFill="1" applyBorder="1">
      <alignment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2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184" fontId="49" fillId="0" borderId="27" xfId="0" applyNumberFormat="1" applyFont="1" applyBorder="1" applyAlignment="1">
      <alignment horizontal="right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7" applyNumberFormat="1" applyFont="1" applyBorder="1" applyAlignment="1">
      <alignment horizontal="right" wrapText="1"/>
    </xf>
    <xf numFmtId="39" fontId="52" fillId="47" borderId="12" xfId="67" applyNumberFormat="1" applyFont="1" applyFill="1" applyBorder="1" applyAlignment="1">
      <alignment horizontal="right" wrapText="1"/>
    </xf>
    <xf numFmtId="39" fontId="52" fillId="47" borderId="26" xfId="0" applyNumberFormat="1" applyFont="1" applyFill="1" applyBorder="1" applyAlignment="1">
      <alignment horizontal="right" vertical="center" wrapText="1"/>
    </xf>
    <xf numFmtId="39" fontId="52" fillId="47" borderId="26" xfId="0" applyNumberFormat="1" applyFont="1" applyFill="1" applyBorder="1" applyAlignment="1">
      <alignment horizontal="center" vertical="center" wrapText="1"/>
    </xf>
    <xf numFmtId="39" fontId="52" fillId="47" borderId="26" xfId="67" applyNumberFormat="1" applyFont="1" applyFill="1" applyBorder="1" applyAlignment="1">
      <alignment horizontal="right" wrapText="1"/>
    </xf>
    <xf numFmtId="39" fontId="52" fillId="47" borderId="27" xfId="67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0" fillId="47" borderId="72" xfId="0" applyFont="1" applyFill="1" applyBorder="1" applyAlignment="1">
      <alignment vertical="center"/>
    </xf>
    <xf numFmtId="0" fontId="0" fillId="47" borderId="41" xfId="0" applyFont="1" applyFill="1" applyBorder="1" applyAlignment="1">
      <alignment vertical="center"/>
    </xf>
    <xf numFmtId="0" fontId="0" fillId="48" borderId="36" xfId="0" applyFill="1" applyBorder="1" applyAlignment="1">
      <alignment/>
    </xf>
    <xf numFmtId="0" fontId="0" fillId="48" borderId="12" xfId="0" applyFill="1" applyBorder="1" applyAlignment="1">
      <alignment horizontal="justify" vertical="top" wrapText="1"/>
    </xf>
    <xf numFmtId="0" fontId="0" fillId="48" borderId="12" xfId="0" applyFill="1" applyBorder="1" applyAlignment="1">
      <alignment horizontal="center"/>
    </xf>
    <xf numFmtId="171" fontId="0" fillId="48" borderId="12" xfId="67" applyFont="1" applyFill="1" applyBorder="1" applyAlignment="1" quotePrefix="1">
      <alignment horizontal="center"/>
    </xf>
    <xf numFmtId="170" fontId="0" fillId="48" borderId="12" xfId="50" applyFont="1" applyFill="1" applyBorder="1" applyAlignment="1">
      <alignment horizontal="center"/>
    </xf>
    <xf numFmtId="170" fontId="0" fillId="0" borderId="12" xfId="50" applyFont="1" applyBorder="1" applyAlignment="1">
      <alignment horizontal="center"/>
    </xf>
    <xf numFmtId="171" fontId="0" fillId="49" borderId="12" xfId="67" applyFont="1" applyFill="1" applyBorder="1" applyAlignment="1">
      <alignment/>
    </xf>
    <xf numFmtId="10" fontId="0" fillId="0" borderId="12" xfId="67" applyNumberFormat="1" applyFont="1" applyBorder="1" applyAlignment="1">
      <alignment/>
    </xf>
    <xf numFmtId="170" fontId="0" fillId="0" borderId="12" xfId="50" applyFont="1" applyBorder="1" applyAlignment="1">
      <alignment/>
    </xf>
    <xf numFmtId="2" fontId="0" fillId="49" borderId="41" xfId="67" applyNumberFormat="1" applyFont="1" applyFill="1" applyBorder="1" applyAlignment="1">
      <alignment horizontal="center"/>
    </xf>
    <xf numFmtId="10" fontId="0" fillId="0" borderId="41" xfId="67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0" fontId="0" fillId="0" borderId="30" xfId="50" applyFont="1" applyBorder="1" applyAlignment="1">
      <alignment/>
    </xf>
    <xf numFmtId="171" fontId="0" fillId="49" borderId="12" xfId="67" applyFont="1" applyFill="1" applyBorder="1" applyAlignment="1">
      <alignment horizontal="center"/>
    </xf>
    <xf numFmtId="0" fontId="24" fillId="49" borderId="12" xfId="0" applyFont="1" applyFill="1" applyBorder="1" applyAlignment="1">
      <alignment horizontal="center"/>
    </xf>
    <xf numFmtId="2" fontId="24" fillId="49" borderId="12" xfId="0" applyNumberFormat="1" applyFont="1" applyFill="1" applyBorder="1" applyAlignment="1">
      <alignment horizontal="center"/>
    </xf>
    <xf numFmtId="0" fontId="24" fillId="48" borderId="36" xfId="0" applyFont="1" applyFill="1" applyBorder="1" applyAlignment="1">
      <alignment/>
    </xf>
    <xf numFmtId="0" fontId="24" fillId="48" borderId="12" xfId="0" applyFont="1" applyFill="1" applyBorder="1" applyAlignment="1">
      <alignment vertical="top" wrapText="1"/>
    </xf>
    <xf numFmtId="0" fontId="24" fillId="48" borderId="12" xfId="0" applyFont="1" applyFill="1" applyBorder="1" applyAlignment="1">
      <alignment horizontal="center"/>
    </xf>
    <xf numFmtId="0" fontId="36" fillId="48" borderId="12" xfId="0" applyFont="1" applyFill="1" applyBorder="1" applyAlignment="1">
      <alignment horizontal="center" vertical="center"/>
    </xf>
    <xf numFmtId="0" fontId="36" fillId="48" borderId="12" xfId="0" applyFont="1" applyFill="1" applyBorder="1" applyAlignment="1">
      <alignment horizontal="center" vertical="center" wrapText="1"/>
    </xf>
    <xf numFmtId="170" fontId="2" fillId="47" borderId="12" xfId="50" applyFont="1" applyFill="1" applyBorder="1" applyAlignment="1">
      <alignment horizontal="center"/>
    </xf>
    <xf numFmtId="170" fontId="2" fillId="47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73" xfId="0" applyNumberFormat="1" applyFont="1" applyBorder="1" applyAlignment="1">
      <alignment horizontal="center" vertical="center" wrapText="1"/>
    </xf>
    <xf numFmtId="4" fontId="9" fillId="0" borderId="74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76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7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57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58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6" fontId="48" fillId="0" borderId="42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5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5" xfId="0" applyFont="1" applyBorder="1" applyAlignment="1">
      <alignment vertical="top" wrapText="1"/>
    </xf>
    <xf numFmtId="0" fontId="51" fillId="0" borderId="78" xfId="0" applyFont="1" applyBorder="1" applyAlignment="1">
      <alignment vertical="top" wrapText="1"/>
    </xf>
    <xf numFmtId="171" fontId="4" fillId="42" borderId="37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right"/>
    </xf>
    <xf numFmtId="49" fontId="2" fillId="42" borderId="57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right"/>
    </xf>
    <xf numFmtId="186" fontId="48" fillId="0" borderId="38" xfId="0" applyNumberFormat="1" applyFont="1" applyBorder="1" applyAlignment="1">
      <alignment horizontal="right" wrapText="1"/>
    </xf>
    <xf numFmtId="0" fontId="48" fillId="0" borderId="79" xfId="0" applyFont="1" applyBorder="1" applyAlignment="1">
      <alignment horizontal="justify" vertical="top" wrapText="1"/>
    </xf>
    <xf numFmtId="2" fontId="48" fillId="0" borderId="80" xfId="0" applyNumberFormat="1" applyFont="1" applyBorder="1" applyAlignment="1">
      <alignment horizontal="center" vertical="top"/>
    </xf>
    <xf numFmtId="2" fontId="48" fillId="0" borderId="79" xfId="0" applyNumberFormat="1" applyFont="1" applyBorder="1" applyAlignment="1">
      <alignment horizontal="center" vertical="top"/>
    </xf>
    <xf numFmtId="0" fontId="48" fillId="0" borderId="79" xfId="0" applyNumberFormat="1" applyFont="1" applyBorder="1" applyAlignment="1">
      <alignment horizontal="center" wrapText="1"/>
    </xf>
    <xf numFmtId="4" fontId="48" fillId="0" borderId="79" xfId="0" applyNumberFormat="1" applyFont="1" applyBorder="1" applyAlignment="1">
      <alignment horizontal="right" wrapText="1"/>
    </xf>
    <xf numFmtId="10" fontId="48" fillId="0" borderId="79" xfId="0" applyNumberFormat="1" applyFont="1" applyBorder="1" applyAlignment="1">
      <alignment horizontal="right" wrapText="1"/>
    </xf>
    <xf numFmtId="186" fontId="48" fillId="0" borderId="68" xfId="0" applyNumberFormat="1" applyFont="1" applyBorder="1" applyAlignment="1">
      <alignment horizontal="right" wrapText="1"/>
    </xf>
    <xf numFmtId="184" fontId="48" fillId="0" borderId="11" xfId="0" applyNumberFormat="1" applyFont="1" applyBorder="1" applyAlignment="1">
      <alignment horizontal="right" wrapText="1"/>
    </xf>
    <xf numFmtId="0" fontId="47" fillId="0" borderId="65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47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44" fillId="47" borderId="38" xfId="0" applyFont="1" applyFill="1" applyBorder="1" applyAlignment="1">
      <alignment horizontal="center" vertical="top" wrapText="1"/>
    </xf>
    <xf numFmtId="0" fontId="44" fillId="47" borderId="40" xfId="0" applyFont="1" applyFill="1" applyBorder="1" applyAlignment="1">
      <alignment horizontal="center" vertical="top" wrapText="1"/>
    </xf>
    <xf numFmtId="39" fontId="52" fillId="0" borderId="26" xfId="67" applyNumberFormat="1" applyFont="1" applyBorder="1" applyAlignment="1">
      <alignment horizontal="right" wrapText="1"/>
    </xf>
    <xf numFmtId="37" fontId="52" fillId="0" borderId="26" xfId="67" applyNumberFormat="1" applyFont="1" applyBorder="1" applyAlignment="1">
      <alignment horizontal="center" wrapText="1"/>
    </xf>
    <xf numFmtId="171" fontId="52" fillId="0" borderId="26" xfId="67" applyNumberFormat="1" applyFont="1" applyBorder="1" applyAlignment="1">
      <alignment horizontal="center" wrapText="1"/>
    </xf>
    <xf numFmtId="39" fontId="52" fillId="0" borderId="38" xfId="67" applyNumberFormat="1" applyFont="1" applyBorder="1" applyAlignment="1">
      <alignment horizontal="right" wrapText="1"/>
    </xf>
    <xf numFmtId="37" fontId="52" fillId="0" borderId="38" xfId="67" applyNumberFormat="1" applyFont="1" applyBorder="1" applyAlignment="1">
      <alignment horizontal="center" wrapText="1"/>
    </xf>
    <xf numFmtId="171" fontId="52" fillId="0" borderId="38" xfId="67" applyNumberFormat="1" applyFont="1" applyBorder="1" applyAlignment="1">
      <alignment horizontal="center" wrapText="1"/>
    </xf>
    <xf numFmtId="39" fontId="52" fillId="47" borderId="40" xfId="67" applyNumberFormat="1" applyFont="1" applyFill="1" applyBorder="1" applyAlignment="1">
      <alignment horizontal="right" wrapText="1"/>
    </xf>
    <xf numFmtId="39" fontId="52" fillId="47" borderId="38" xfId="67" applyNumberFormat="1" applyFont="1" applyFill="1" applyBorder="1" applyAlignment="1">
      <alignment horizontal="right" wrapText="1"/>
    </xf>
    <xf numFmtId="39" fontId="52" fillId="47" borderId="55" xfId="0" applyNumberFormat="1" applyFont="1" applyFill="1" applyBorder="1" applyAlignment="1">
      <alignment horizontal="right" vertical="center" wrapText="1"/>
    </xf>
    <xf numFmtId="39" fontId="52" fillId="47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42" borderId="0" xfId="0" applyNumberFormat="1" applyFill="1" applyAlignment="1">
      <alignment/>
    </xf>
    <xf numFmtId="0" fontId="0" fillId="42" borderId="55" xfId="0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right"/>
    </xf>
    <xf numFmtId="39" fontId="60" fillId="47" borderId="28" xfId="67" applyNumberFormat="1" applyFont="1" applyFill="1" applyBorder="1" applyAlignment="1">
      <alignment horizontal="right" wrapText="1"/>
    </xf>
    <xf numFmtId="2" fontId="49" fillId="0" borderId="57" xfId="0" applyNumberFormat="1" applyFont="1" applyBorder="1" applyAlignment="1">
      <alignment horizontal="center" vertical="top"/>
    </xf>
    <xf numFmtId="39" fontId="60" fillId="47" borderId="55" xfId="67" applyNumberFormat="1" applyFont="1" applyFill="1" applyBorder="1" applyAlignment="1">
      <alignment horizontal="right" wrapText="1"/>
    </xf>
    <xf numFmtId="10" fontId="60" fillId="47" borderId="29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wrapText="1"/>
    </xf>
    <xf numFmtId="9" fontId="52" fillId="0" borderId="12" xfId="67" applyNumberFormat="1" applyFont="1" applyBorder="1" applyAlignment="1">
      <alignment horizontal="center" wrapText="1"/>
    </xf>
    <xf numFmtId="10" fontId="60" fillId="47" borderId="56" xfId="67" applyNumberFormat="1" applyFont="1" applyFill="1" applyBorder="1" applyAlignment="1">
      <alignment horizontal="right" vertical="center" wrapText="1"/>
    </xf>
    <xf numFmtId="10" fontId="52" fillId="47" borderId="30" xfId="67" applyNumberFormat="1" applyFont="1" applyFill="1" applyBorder="1" applyAlignment="1">
      <alignment horizontal="right" vertical="center" wrapText="1"/>
    </xf>
    <xf numFmtId="10" fontId="52" fillId="47" borderId="56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vertical="center" wrapText="1"/>
    </xf>
    <xf numFmtId="39" fontId="60" fillId="0" borderId="28" xfId="67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7" borderId="0" xfId="0" applyFont="1" applyFill="1" applyBorder="1" applyAlignment="1">
      <alignment horizontal="center" vertical="top" wrapText="1"/>
    </xf>
    <xf numFmtId="0" fontId="44" fillId="47" borderId="51" xfId="0" applyFont="1" applyFill="1" applyBorder="1" applyAlignment="1">
      <alignment horizontal="center" vertical="top" wrapText="1"/>
    </xf>
    <xf numFmtId="39" fontId="52" fillId="47" borderId="66" xfId="0" applyNumberFormat="1" applyFont="1" applyFill="1" applyBorder="1" applyAlignment="1">
      <alignment horizontal="right" vertical="center" wrapText="1"/>
    </xf>
    <xf numFmtId="39" fontId="52" fillId="47" borderId="0" xfId="0" applyNumberFormat="1" applyFont="1" applyFill="1" applyBorder="1" applyAlignment="1">
      <alignment horizontal="center" vertical="center" wrapText="1"/>
    </xf>
    <xf numFmtId="39" fontId="52" fillId="47" borderId="0" xfId="0" applyNumberFormat="1" applyFont="1" applyFill="1" applyBorder="1" applyAlignment="1">
      <alignment horizontal="right" vertical="center" wrapText="1"/>
    </xf>
    <xf numFmtId="39" fontId="52" fillId="47" borderId="51" xfId="0" applyNumberFormat="1" applyFont="1" applyFill="1" applyBorder="1" applyAlignment="1">
      <alignment horizontal="right" vertical="center" wrapText="1"/>
    </xf>
    <xf numFmtId="39" fontId="52" fillId="47" borderId="66" xfId="0" applyNumberFormat="1" applyFont="1" applyFill="1" applyBorder="1" applyAlignment="1">
      <alignment horizontal="center" vertical="center" wrapText="1"/>
    </xf>
    <xf numFmtId="39" fontId="52" fillId="47" borderId="0" xfId="67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171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4" fontId="93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0" fontId="0" fillId="42" borderId="36" xfId="52" applyFont="1" applyFill="1" applyBorder="1" applyAlignment="1">
      <alignment horizont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93" fillId="33" borderId="12" xfId="52" applyNumberFormat="1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 wrapText="1"/>
      <protection/>
    </xf>
    <xf numFmtId="0" fontId="0" fillId="33" borderId="36" xfId="52" applyFill="1" applyBorder="1" applyAlignment="1">
      <alignment horizontal="center"/>
      <protection/>
    </xf>
    <xf numFmtId="174" fontId="0" fillId="33" borderId="12" xfId="52" applyNumberFormat="1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4" fontId="48" fillId="0" borderId="39" xfId="0" applyNumberFormat="1" applyFont="1" applyFill="1" applyBorder="1" applyAlignment="1">
      <alignment horizontal="right" wrapText="1"/>
    </xf>
    <xf numFmtId="0" fontId="0" fillId="33" borderId="12" xfId="52" applyFill="1" applyBorder="1" applyAlignment="1">
      <alignment vertical="top" wrapText="1"/>
      <protection/>
    </xf>
    <xf numFmtId="0" fontId="0" fillId="33" borderId="12" xfId="52" applyNumberFormat="1" applyFon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/>
      <protection/>
    </xf>
    <xf numFmtId="4" fontId="0" fillId="33" borderId="12" xfId="52" applyNumberFormat="1" applyFont="1" applyFill="1" applyBorder="1" applyAlignment="1">
      <alignment horizontal="center"/>
      <protection/>
    </xf>
    <xf numFmtId="0" fontId="9" fillId="33" borderId="17" xfId="52" applyFont="1" applyFill="1" applyBorder="1">
      <alignment/>
      <protection/>
    </xf>
    <xf numFmtId="0" fontId="0" fillId="42" borderId="50" xfId="52" applyFont="1" applyFill="1" applyBorder="1">
      <alignment/>
      <protection/>
    </xf>
    <xf numFmtId="0" fontId="0" fillId="42" borderId="0" xfId="52" applyFont="1" applyFill="1" applyBorder="1">
      <alignment/>
      <protection/>
    </xf>
    <xf numFmtId="17" fontId="0" fillId="33" borderId="52" xfId="52" applyNumberFormat="1" applyFill="1" applyBorder="1" applyAlignment="1">
      <alignment horizontal="center"/>
      <protection/>
    </xf>
    <xf numFmtId="0" fontId="0" fillId="33" borderId="52" xfId="52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181" fontId="0" fillId="33" borderId="52" xfId="52" applyNumberFormat="1" applyFont="1" applyFill="1" applyBorder="1" applyAlignment="1">
      <alignment horizontal="center"/>
      <protection/>
    </xf>
    <xf numFmtId="4" fontId="0" fillId="33" borderId="30" xfId="52" applyNumberFormat="1" applyFont="1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4" fontId="0" fillId="33" borderId="78" xfId="52" applyNumberFormat="1" applyFon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72" xfId="52" applyFill="1" applyBorder="1" applyAlignment="1">
      <alignment horizontal="center"/>
      <protection/>
    </xf>
    <xf numFmtId="4" fontId="0" fillId="33" borderId="81" xfId="52" applyNumberFormat="1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top"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2" fontId="9" fillId="33" borderId="0" xfId="52" applyNumberFormat="1" applyFont="1" applyFill="1" applyBorder="1">
      <alignment/>
      <protection/>
    </xf>
    <xf numFmtId="0" fontId="0" fillId="33" borderId="57" xfId="52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4" fontId="0" fillId="33" borderId="27" xfId="52" applyNumberFormat="1" applyFill="1" applyBorder="1" applyAlignment="1">
      <alignment horizontal="center"/>
      <protection/>
    </xf>
    <xf numFmtId="0" fontId="0" fillId="33" borderId="72" xfId="52" applyFill="1" applyBorder="1" applyAlignment="1">
      <alignment horizontal="center" vertical="center"/>
      <protection/>
    </xf>
    <xf numFmtId="4" fontId="0" fillId="33" borderId="81" xfId="52" applyNumberFormat="1" applyFill="1" applyBorder="1" applyAlignment="1">
      <alignment horizontal="center" vertical="center"/>
      <protection/>
    </xf>
    <xf numFmtId="2" fontId="48" fillId="0" borderId="62" xfId="0" applyNumberFormat="1" applyFont="1" applyBorder="1" applyAlignment="1">
      <alignment horizontal="center" vertical="top"/>
    </xf>
    <xf numFmtId="0" fontId="48" fillId="0" borderId="63" xfId="0" applyNumberFormat="1" applyFont="1" applyBorder="1" applyAlignment="1">
      <alignment horizontal="center" wrapText="1"/>
    </xf>
    <xf numFmtId="4" fontId="48" fillId="0" borderId="63" xfId="0" applyNumberFormat="1" applyFont="1" applyBorder="1" applyAlignment="1">
      <alignment horizontal="right" wrapText="1"/>
    </xf>
    <xf numFmtId="10" fontId="48" fillId="0" borderId="63" xfId="0" applyNumberFormat="1" applyFont="1" applyBorder="1" applyAlignment="1">
      <alignment horizontal="right" wrapText="1"/>
    </xf>
    <xf numFmtId="186" fontId="48" fillId="0" borderId="63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49" fontId="0" fillId="33" borderId="41" xfId="52" applyNumberFormat="1" applyFill="1" applyBorder="1" applyAlignment="1">
      <alignment horizontal="left"/>
      <protection/>
    </xf>
    <xf numFmtId="49" fontId="0" fillId="33" borderId="82" xfId="52" applyNumberFormat="1" applyFill="1" applyBorder="1" applyAlignment="1">
      <alignment horizontal="left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5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10" fillId="0" borderId="42" xfId="52" applyNumberFormat="1" applyFont="1" applyFill="1" applyBorder="1" applyAlignment="1">
      <alignment horizontal="center" vertical="center" wrapText="1"/>
      <protection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10" fillId="0" borderId="35" xfId="52" applyNumberFormat="1" applyFont="1" applyFill="1" applyBorder="1" applyAlignment="1">
      <alignment horizontal="center" vertical="center" wrapText="1"/>
      <protection/>
    </xf>
    <xf numFmtId="0" fontId="10" fillId="0" borderId="58" xfId="52" applyNumberFormat="1" applyFont="1" applyFill="1" applyBorder="1" applyAlignment="1">
      <alignment horizontal="center" vertical="center" wrapText="1"/>
      <protection/>
    </xf>
    <xf numFmtId="0" fontId="10" fillId="0" borderId="47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0" fontId="0" fillId="33" borderId="53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175" fontId="1" fillId="33" borderId="83" xfId="52" applyNumberFormat="1" applyFont="1" applyFill="1" applyBorder="1" applyAlignment="1">
      <alignment horizontal="center" vertical="top" wrapText="1"/>
      <protection/>
    </xf>
    <xf numFmtId="175" fontId="1" fillId="33" borderId="59" xfId="52" applyNumberFormat="1" applyFont="1" applyFill="1" applyBorder="1" applyAlignment="1">
      <alignment horizontal="center" vertical="top" wrapText="1"/>
      <protection/>
    </xf>
    <xf numFmtId="175" fontId="1" fillId="33" borderId="61" xfId="52" applyNumberFormat="1" applyFont="1" applyFill="1" applyBorder="1" applyAlignment="1">
      <alignment horizontal="center" vertical="top" wrapText="1"/>
      <protection/>
    </xf>
    <xf numFmtId="0" fontId="0" fillId="33" borderId="83" xfId="52" applyFont="1" applyFill="1" applyBorder="1" applyAlignment="1">
      <alignment horizontal="left"/>
      <protection/>
    </xf>
    <xf numFmtId="0" fontId="0" fillId="33" borderId="59" xfId="52" applyFill="1" applyBorder="1" applyAlignment="1">
      <alignment horizontal="left"/>
      <protection/>
    </xf>
    <xf numFmtId="0" fontId="0" fillId="33" borderId="60" xfId="52" applyFill="1" applyBorder="1" applyAlignment="1">
      <alignment horizontal="left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31" fillId="40" borderId="84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41" borderId="64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0" fontId="31" fillId="39" borderId="84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31" fillId="36" borderId="84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0" borderId="84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7" borderId="84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40" borderId="36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170" fontId="31" fillId="0" borderId="36" xfId="47" applyFont="1" applyBorder="1" applyAlignment="1">
      <alignment horizontal="left"/>
    </xf>
    <xf numFmtId="170" fontId="31" fillId="0" borderId="12" xfId="47" applyFont="1" applyBorder="1" applyAlignment="1">
      <alignment horizontal="left"/>
    </xf>
    <xf numFmtId="170" fontId="31" fillId="0" borderId="41" xfId="47" applyFont="1" applyBorder="1" applyAlignment="1">
      <alignment horizontal="left"/>
    </xf>
    <xf numFmtId="170" fontId="31" fillId="0" borderId="23" xfId="47" applyFont="1" applyBorder="1" applyAlignment="1">
      <alignment horizontal="left"/>
    </xf>
    <xf numFmtId="170" fontId="31" fillId="0" borderId="26" xfId="47" applyFont="1" applyBorder="1" applyAlignment="1">
      <alignment horizontal="left"/>
    </xf>
    <xf numFmtId="170" fontId="31" fillId="0" borderId="42" xfId="47" applyFont="1" applyBorder="1" applyAlignment="1">
      <alignment horizontal="left"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8" borderId="84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5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4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0" borderId="36" xfId="53" applyFont="1" applyBorder="1" applyAlignment="1">
      <alignment horizontal="left"/>
      <protection/>
    </xf>
    <xf numFmtId="0" fontId="31" fillId="37" borderId="85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170" fontId="31" fillId="0" borderId="84" xfId="47" applyFont="1" applyBorder="1" applyAlignment="1">
      <alignment horizontal="left"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170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170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170" fontId="31" fillId="0" borderId="85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5" xfId="47" applyFont="1" applyBorder="1" applyAlignment="1">
      <alignment horizontal="left"/>
    </xf>
    <xf numFmtId="0" fontId="28" fillId="0" borderId="0" xfId="56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75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6" xfId="53" applyFont="1" applyFill="1" applyBorder="1" applyAlignment="1">
      <alignment horizontal="center" vertical="center"/>
      <protection/>
    </xf>
    <xf numFmtId="0" fontId="30" fillId="0" borderId="87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0" xfId="53" applyFont="1" applyBorder="1" applyAlignment="1">
      <alignment horizontal="center"/>
      <protection/>
    </xf>
    <xf numFmtId="0" fontId="30" fillId="0" borderId="79" xfId="53" applyFont="1" applyBorder="1" applyAlignment="1">
      <alignment horizontal="center"/>
      <protection/>
    </xf>
    <xf numFmtId="0" fontId="30" fillId="0" borderId="68" xfId="53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5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75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5" xfId="57" applyFont="1" applyBorder="1" applyAlignment="1">
      <alignment horizontal="center"/>
      <protection/>
    </xf>
    <xf numFmtId="0" fontId="31" fillId="41" borderId="23" xfId="53" applyFont="1" applyFill="1" applyBorder="1" applyAlignment="1">
      <alignment horizontal="left"/>
      <protection/>
    </xf>
    <xf numFmtId="170" fontId="31" fillId="0" borderId="57" xfId="47" applyFont="1" applyBorder="1" applyAlignment="1">
      <alignment horizontal="left"/>
    </xf>
    <xf numFmtId="171" fontId="4" fillId="42" borderId="37" xfId="0" applyNumberFormat="1" applyFont="1" applyFill="1" applyBorder="1" applyAlignment="1">
      <alignment horizontal="center" vertical="center"/>
    </xf>
    <xf numFmtId="171" fontId="4" fillId="42" borderId="57" xfId="0" applyNumberFormat="1" applyFont="1" applyFill="1" applyBorder="1" applyAlignment="1">
      <alignment horizontal="center" vertical="center"/>
    </xf>
    <xf numFmtId="171" fontId="4" fillId="42" borderId="38" xfId="0" applyNumberFormat="1" applyFont="1" applyFill="1" applyBorder="1" applyAlignment="1">
      <alignment horizontal="left" vertical="center"/>
    </xf>
    <xf numFmtId="171" fontId="4" fillId="42" borderId="55" xfId="0" applyNumberFormat="1" applyFont="1" applyFill="1" applyBorder="1" applyAlignment="1">
      <alignment horizontal="left" vertical="center"/>
    </xf>
    <xf numFmtId="171" fontId="4" fillId="42" borderId="38" xfId="0" applyNumberFormat="1" applyFont="1" applyFill="1" applyBorder="1" applyAlignment="1">
      <alignment horizontal="center" vertical="center"/>
    </xf>
    <xf numFmtId="171" fontId="4" fillId="42" borderId="55" xfId="0" applyNumberFormat="1" applyFont="1" applyFill="1" applyBorder="1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30" xfId="0" applyNumberFormat="1" applyFont="1" applyFill="1" applyBorder="1" applyAlignment="1">
      <alignment horizontal="center"/>
    </xf>
    <xf numFmtId="0" fontId="40" fillId="42" borderId="50" xfId="0" applyFont="1" applyFill="1" applyBorder="1" applyAlignment="1">
      <alignment horizontal="center"/>
    </xf>
    <xf numFmtId="0" fontId="40" fillId="42" borderId="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12" fillId="42" borderId="48" xfId="0" applyFont="1" applyFill="1" applyBorder="1" applyAlignment="1">
      <alignment horizontal="left"/>
    </xf>
    <xf numFmtId="171" fontId="4" fillId="42" borderId="42" xfId="0" applyNumberFormat="1" applyFont="1" applyFill="1" applyBorder="1" applyAlignment="1">
      <alignment horizontal="center"/>
    </xf>
    <xf numFmtId="171" fontId="4" fillId="42" borderId="69" xfId="0" applyNumberFormat="1" applyFont="1" applyFill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171" fontId="4" fillId="42" borderId="41" xfId="0" applyNumberFormat="1" applyFont="1" applyFill="1" applyBorder="1" applyAlignment="1">
      <alignment horizontal="center"/>
    </xf>
    <xf numFmtId="171" fontId="4" fillId="42" borderId="82" xfId="0" applyNumberFormat="1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center"/>
    </xf>
    <xf numFmtId="171" fontId="4" fillId="42" borderId="56" xfId="0" applyNumberFormat="1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center"/>
    </xf>
    <xf numFmtId="171" fontId="4" fillId="42" borderId="29" xfId="0" applyNumberFormat="1" applyFont="1" applyFill="1" applyBorder="1" applyAlignment="1">
      <alignment horizontal="center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left"/>
    </xf>
    <xf numFmtId="171" fontId="4" fillId="42" borderId="29" xfId="0" applyNumberFormat="1" applyFont="1" applyFill="1" applyBorder="1" applyAlignment="1">
      <alignment horizontal="left"/>
    </xf>
    <xf numFmtId="0" fontId="21" fillId="42" borderId="0" xfId="0" applyFont="1" applyFill="1" applyBorder="1" applyAlignment="1">
      <alignment horizontal="center"/>
    </xf>
    <xf numFmtId="0" fontId="23" fillId="42" borderId="0" xfId="0" applyFont="1" applyFill="1" applyBorder="1" applyAlignment="1">
      <alignment horizontal="center"/>
    </xf>
    <xf numFmtId="171" fontId="4" fillId="42" borderId="65" xfId="0" applyNumberFormat="1" applyFont="1" applyFill="1" applyBorder="1" applyAlignment="1">
      <alignment horizontal="center"/>
    </xf>
    <xf numFmtId="171" fontId="4" fillId="42" borderId="78" xfId="0" applyNumberFormat="1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0" fontId="12" fillId="0" borderId="5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75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171" fontId="4" fillId="42" borderId="26" xfId="0" applyNumberFormat="1" applyFont="1" applyFill="1" applyBorder="1" applyAlignment="1">
      <alignment horizontal="center"/>
    </xf>
    <xf numFmtId="171" fontId="4" fillId="42" borderId="2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7" fillId="0" borderId="6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67" xfId="0" applyNumberFormat="1" applyFont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181" fontId="42" fillId="0" borderId="89" xfId="0" applyNumberFormat="1" applyFont="1" applyBorder="1" applyAlignment="1">
      <alignment horizontal="left" vertical="center"/>
    </xf>
    <xf numFmtId="181" fontId="42" fillId="0" borderId="82" xfId="0" applyNumberFormat="1" applyFont="1" applyBorder="1" applyAlignment="1">
      <alignment horizontal="left" vertical="center"/>
    </xf>
    <xf numFmtId="0" fontId="47" fillId="47" borderId="28" xfId="0" applyFont="1" applyFill="1" applyBorder="1" applyAlignment="1">
      <alignment horizontal="center" vertical="center" wrapText="1"/>
    </xf>
    <xf numFmtId="0" fontId="47" fillId="47" borderId="38" xfId="0" applyFont="1" applyFill="1" applyBorder="1" applyAlignment="1">
      <alignment horizontal="center" vertical="center" wrapText="1"/>
    </xf>
    <xf numFmtId="0" fontId="47" fillId="47" borderId="29" xfId="0" applyFont="1" applyFill="1" applyBorder="1" applyAlignment="1">
      <alignment horizontal="center" vertical="center" wrapText="1"/>
    </xf>
    <xf numFmtId="0" fontId="47" fillId="47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7" fillId="47" borderId="71" xfId="0" applyFont="1" applyFill="1" applyBorder="1" applyAlignment="1">
      <alignment horizontal="right" vertical="top" wrapText="1"/>
    </xf>
    <xf numFmtId="0" fontId="47" fillId="47" borderId="90" xfId="0" applyFont="1" applyFill="1" applyBorder="1" applyAlignment="1">
      <alignment horizontal="right" vertical="top" wrapText="1"/>
    </xf>
    <xf numFmtId="0" fontId="47" fillId="47" borderId="25" xfId="0" applyFont="1" applyFill="1" applyBorder="1" applyAlignment="1">
      <alignment horizontal="right" vertical="top" wrapText="1"/>
    </xf>
    <xf numFmtId="0" fontId="47" fillId="0" borderId="84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7" borderId="35" xfId="0" applyFont="1" applyFill="1" applyBorder="1" applyAlignment="1">
      <alignment horizontal="center" vertical="center" wrapText="1"/>
    </xf>
    <xf numFmtId="0" fontId="47" fillId="47" borderId="37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right" vertical="center" wrapText="1"/>
    </xf>
    <xf numFmtId="0" fontId="42" fillId="0" borderId="59" xfId="0" applyFont="1" applyBorder="1" applyAlignment="1">
      <alignment horizontal="right" vertical="center" wrapText="1"/>
    </xf>
    <xf numFmtId="0" fontId="42" fillId="0" borderId="6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38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left"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81" xfId="0" applyNumberFormat="1" applyFont="1" applyBorder="1" applyAlignment="1">
      <alignment horizontal="center" vertical="top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2" fillId="0" borderId="89" xfId="0" applyFont="1" applyBorder="1" applyAlignment="1">
      <alignment horizontal="left" vertical="top" wrapText="1"/>
    </xf>
    <xf numFmtId="0" fontId="42" fillId="0" borderId="84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center"/>
    </xf>
    <xf numFmtId="0" fontId="42" fillId="0" borderId="89" xfId="0" applyFont="1" applyBorder="1" applyAlignment="1">
      <alignment horizontal="left" vertical="center"/>
    </xf>
    <xf numFmtId="0" fontId="9" fillId="47" borderId="41" xfId="0" applyFont="1" applyFill="1" applyBorder="1" applyAlignment="1">
      <alignment horizontal="center"/>
    </xf>
    <xf numFmtId="0" fontId="9" fillId="47" borderId="89" xfId="0" applyFont="1" applyFill="1" applyBorder="1" applyAlignment="1">
      <alignment horizontal="center"/>
    </xf>
    <xf numFmtId="0" fontId="47" fillId="47" borderId="12" xfId="0" applyFont="1" applyFill="1" applyBorder="1" applyAlignment="1">
      <alignment horizontal="center" wrapText="1"/>
    </xf>
    <xf numFmtId="0" fontId="47" fillId="47" borderId="30" xfId="0" applyFont="1" applyFill="1" applyBorder="1" applyAlignment="1">
      <alignment horizontal="center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6" fillId="0" borderId="0" xfId="44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44" fillId="47" borderId="57" xfId="0" applyFont="1" applyFill="1" applyBorder="1" applyAlignment="1">
      <alignment horizontal="center" vertical="top" wrapText="1"/>
    </xf>
    <xf numFmtId="0" fontId="44" fillId="47" borderId="55" xfId="0" applyFont="1" applyFill="1" applyBorder="1" applyAlignment="1">
      <alignment horizontal="center" vertical="top" wrapText="1"/>
    </xf>
    <xf numFmtId="0" fontId="44" fillId="47" borderId="23" xfId="0" applyFont="1" applyFill="1" applyBorder="1" applyAlignment="1">
      <alignment horizontal="center" vertical="top" wrapText="1"/>
    </xf>
    <xf numFmtId="0" fontId="44" fillId="47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justify" vertical="top" wrapText="1"/>
    </xf>
    <xf numFmtId="0" fontId="9" fillId="0" borderId="55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left" vertical="top" wrapText="1"/>
    </xf>
    <xf numFmtId="0" fontId="51" fillId="0" borderId="78" xfId="0" applyFont="1" applyBorder="1" applyAlignment="1">
      <alignment horizontal="left" vertical="top" wrapText="1"/>
    </xf>
    <xf numFmtId="0" fontId="51" fillId="0" borderId="66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2" fillId="0" borderId="88" xfId="0" applyFont="1" applyBorder="1" applyAlignment="1">
      <alignment horizontal="left" vertical="top" wrapText="1"/>
    </xf>
    <xf numFmtId="0" fontId="44" fillId="47" borderId="36" xfId="0" applyFont="1" applyFill="1" applyBorder="1" applyAlignment="1">
      <alignment horizontal="center" vertical="center" wrapText="1"/>
    </xf>
    <xf numFmtId="0" fontId="44" fillId="47" borderId="37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center" wrapText="1"/>
    </xf>
    <xf numFmtId="0" fontId="44" fillId="47" borderId="38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top" wrapText="1"/>
    </xf>
    <xf numFmtId="0" fontId="42" fillId="0" borderId="88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center" vertical="center"/>
    </xf>
    <xf numFmtId="0" fontId="0" fillId="47" borderId="91" xfId="0" applyFill="1" applyBorder="1" applyAlignment="1">
      <alignment horizontal="center" vertical="top" wrapText="1"/>
    </xf>
    <xf numFmtId="0" fontId="0" fillId="47" borderId="92" xfId="0" applyFill="1" applyBorder="1" applyAlignment="1">
      <alignment horizontal="center" vertical="top" wrapText="1"/>
    </xf>
    <xf numFmtId="0" fontId="0" fillId="47" borderId="77" xfId="0" applyFill="1" applyBorder="1" applyAlignment="1">
      <alignment/>
    </xf>
    <xf numFmtId="0" fontId="0" fillId="47" borderId="68" xfId="0" applyFill="1" applyBorder="1" applyAlignment="1">
      <alignment horizontal="center" vertical="top" wrapText="1"/>
    </xf>
    <xf numFmtId="0" fontId="0" fillId="47" borderId="24" xfId="0" applyFill="1" applyBorder="1" applyAlignment="1">
      <alignment horizontal="center" vertical="top" wrapText="1"/>
    </xf>
    <xf numFmtId="0" fontId="0" fillId="47" borderId="67" xfId="0" applyFill="1" applyBorder="1" applyAlignment="1">
      <alignment horizontal="center" vertical="top" wrapText="1"/>
    </xf>
    <xf numFmtId="0" fontId="0" fillId="47" borderId="42" xfId="0" applyFont="1" applyFill="1" applyBorder="1" applyAlignment="1">
      <alignment horizontal="center" vertical="top" wrapText="1"/>
    </xf>
    <xf numFmtId="0" fontId="0" fillId="47" borderId="90" xfId="0" applyFill="1" applyBorder="1" applyAlignment="1">
      <alignment horizontal="center" vertical="top" wrapText="1"/>
    </xf>
    <xf numFmtId="0" fontId="0" fillId="47" borderId="69" xfId="0" applyFill="1" applyBorder="1" applyAlignment="1">
      <alignment horizontal="center" vertical="top" wrapText="1"/>
    </xf>
    <xf numFmtId="0" fontId="0" fillId="47" borderId="23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47" borderId="89" xfId="0" applyFont="1" applyFill="1" applyBorder="1" applyAlignment="1">
      <alignment horizontal="center" vertical="center"/>
    </xf>
    <xf numFmtId="0" fontId="0" fillId="47" borderId="82" xfId="0" applyFont="1" applyFill="1" applyBorder="1" applyAlignment="1">
      <alignment horizontal="center" vertical="center"/>
    </xf>
    <xf numFmtId="0" fontId="0" fillId="47" borderId="88" xfId="0" applyFill="1" applyBorder="1" applyAlignment="1">
      <alignment horizontal="center"/>
    </xf>
    <xf numFmtId="0" fontId="0" fillId="47" borderId="89" xfId="0" applyFill="1" applyBorder="1" applyAlignment="1">
      <alignment horizontal="center"/>
    </xf>
    <xf numFmtId="0" fontId="0" fillId="47" borderId="82" xfId="0" applyFill="1" applyBorder="1" applyAlignment="1">
      <alignment horizontal="center"/>
    </xf>
    <xf numFmtId="0" fontId="0" fillId="47" borderId="84" xfId="0" applyFill="1" applyBorder="1" applyAlignment="1">
      <alignment horizontal="center"/>
    </xf>
    <xf numFmtId="0" fontId="36" fillId="47" borderId="41" xfId="0" applyFont="1" applyFill="1" applyBorder="1" applyAlignment="1">
      <alignment horizontal="center" vertical="center"/>
    </xf>
    <xf numFmtId="0" fontId="36" fillId="47" borderId="89" xfId="0" applyFont="1" applyFill="1" applyBorder="1" applyAlignment="1">
      <alignment horizontal="center" vertical="center"/>
    </xf>
    <xf numFmtId="0" fontId="36" fillId="47" borderId="84" xfId="0" applyFont="1" applyFill="1" applyBorder="1" applyAlignment="1">
      <alignment horizontal="center" vertical="center"/>
    </xf>
    <xf numFmtId="171" fontId="0" fillId="47" borderId="41" xfId="67" applyFont="1" applyFill="1" applyBorder="1" applyAlignment="1">
      <alignment horizontal="center"/>
    </xf>
    <xf numFmtId="171" fontId="0" fillId="47" borderId="84" xfId="67" applyFont="1" applyFill="1" applyBorder="1" applyAlignment="1">
      <alignment horizontal="center"/>
    </xf>
    <xf numFmtId="166" fontId="2" fillId="47" borderId="41" xfId="50" applyNumberFormat="1" applyFont="1" applyFill="1" applyBorder="1" applyAlignment="1">
      <alignment horizontal="center"/>
    </xf>
    <xf numFmtId="166" fontId="2" fillId="47" borderId="89" xfId="50" applyNumberFormat="1" applyFont="1" applyFill="1" applyBorder="1" applyAlignment="1">
      <alignment horizontal="center"/>
    </xf>
    <xf numFmtId="166" fontId="2" fillId="47" borderId="84" xfId="50" applyNumberFormat="1" applyFont="1" applyFill="1" applyBorder="1" applyAlignment="1">
      <alignment horizontal="center"/>
    </xf>
    <xf numFmtId="0" fontId="11" fillId="47" borderId="93" xfId="0" applyFont="1" applyFill="1" applyBorder="1" applyAlignment="1">
      <alignment horizontal="center" vertical="center" wrapText="1"/>
    </xf>
    <xf numFmtId="0" fontId="0" fillId="47" borderId="94" xfId="0" applyFill="1" applyBorder="1" applyAlignment="1">
      <alignment horizontal="center" vertical="center"/>
    </xf>
    <xf numFmtId="0" fontId="0" fillId="47" borderId="95" xfId="0" applyFill="1" applyBorder="1" applyAlignment="1">
      <alignment horizontal="center" vertical="center"/>
    </xf>
    <xf numFmtId="0" fontId="11" fillId="47" borderId="96" xfId="0" applyFont="1" applyFill="1" applyBorder="1" applyAlignment="1">
      <alignment horizontal="center" vertical="center" wrapText="1"/>
    </xf>
    <xf numFmtId="0" fontId="0" fillId="47" borderId="97" xfId="0" applyFill="1" applyBorder="1" applyAlignment="1">
      <alignment horizontal="center" vertical="center"/>
    </xf>
    <xf numFmtId="0" fontId="0" fillId="47" borderId="98" xfId="0" applyFill="1" applyBorder="1" applyAlignment="1">
      <alignment horizontal="center" vertical="center"/>
    </xf>
    <xf numFmtId="0" fontId="11" fillId="47" borderId="99" xfId="0" applyFont="1" applyFill="1" applyBorder="1" applyAlignment="1">
      <alignment horizontal="center" vertical="center" wrapText="1"/>
    </xf>
    <xf numFmtId="0" fontId="11" fillId="47" borderId="100" xfId="0" applyFont="1" applyFill="1" applyBorder="1" applyAlignment="1">
      <alignment horizontal="center" vertical="center" wrapText="1"/>
    </xf>
    <xf numFmtId="0" fontId="11" fillId="47" borderId="101" xfId="0" applyFont="1" applyFill="1" applyBorder="1" applyAlignment="1">
      <alignment horizontal="center" vertical="center" wrapText="1"/>
    </xf>
    <xf numFmtId="0" fontId="0" fillId="47" borderId="102" xfId="0" applyFill="1" applyBorder="1" applyAlignment="1">
      <alignment horizontal="center" vertical="center" wrapText="1"/>
    </xf>
    <xf numFmtId="0" fontId="0" fillId="47" borderId="103" xfId="0" applyFill="1" applyBorder="1" applyAlignment="1">
      <alignment horizontal="center" vertical="center" wrapText="1"/>
    </xf>
    <xf numFmtId="0" fontId="0" fillId="47" borderId="104" xfId="0" applyFill="1" applyBorder="1" applyAlignment="1">
      <alignment horizontal="center" vertical="center" wrapText="1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11" fillId="47" borderId="89" xfId="0" applyFont="1" applyFill="1" applyBorder="1" applyAlignment="1">
      <alignment horizontal="center" vertical="center" wrapText="1"/>
    </xf>
    <xf numFmtId="170" fontId="12" fillId="0" borderId="41" xfId="0" applyNumberFormat="1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11" fillId="0" borderId="8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9" xfId="0" applyFont="1" applyBorder="1" applyAlignment="1">
      <alignment horizontal="left" vertical="center" wrapText="1"/>
    </xf>
    <xf numFmtId="0" fontId="56" fillId="0" borderId="84" xfId="0" applyFont="1" applyBorder="1" applyAlignment="1">
      <alignment horizontal="left" vertical="center" wrapText="1"/>
    </xf>
    <xf numFmtId="0" fontId="54" fillId="0" borderId="88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" fontId="9" fillId="33" borderId="17" xfId="52" applyNumberFormat="1" applyFont="1" applyFill="1" applyBorder="1" applyAlignment="1">
      <alignment horizontal="center"/>
      <protection/>
    </xf>
    <xf numFmtId="17" fontId="9" fillId="33" borderId="48" xfId="52" applyNumberFormat="1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2" borderId="36" xfId="52" applyFill="1" applyBorder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36" xfId="52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2" borderId="75" xfId="52" applyFont="1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181" fontId="9" fillId="33" borderId="17" xfId="52" applyNumberFormat="1" applyFont="1" applyFill="1" applyBorder="1" applyAlignment="1">
      <alignment horizontal="center"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0" fillId="42" borderId="3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0" fillId="42" borderId="40" xfId="52" applyFill="1" applyBorder="1" applyAlignment="1">
      <alignment horizontal="center"/>
      <protection/>
    </xf>
    <xf numFmtId="0" fontId="0" fillId="42" borderId="57" xfId="52" applyFill="1" applyBorder="1" applyAlignment="1">
      <alignment horizontal="center"/>
      <protection/>
    </xf>
    <xf numFmtId="0" fontId="0" fillId="42" borderId="55" xfId="52" applyFill="1" applyBorder="1" applyAlignment="1">
      <alignment horizontal="center"/>
      <protection/>
    </xf>
    <xf numFmtId="0" fontId="0" fillId="42" borderId="56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2" borderId="0" xfId="52" applyFont="1" applyFill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5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4" xfId="0" applyNumberFormat="1" applyFont="1" applyFill="1" applyBorder="1" applyAlignment="1">
      <alignment horizontal="left"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" xfId="64"/>
    <cellStyle name="Comma [0]" xfId="65"/>
    <cellStyle name="Separador de milhares 2" xfId="66"/>
    <cellStyle name="Separador de milhares 2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79</xdr:row>
      <xdr:rowOff>0</xdr:rowOff>
    </xdr:from>
    <xdr:to>
      <xdr:col>16</xdr:col>
      <xdr:colOff>38100</xdr:colOff>
      <xdr:row>80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2593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82</xdr:row>
      <xdr:rowOff>161925</xdr:rowOff>
    </xdr:from>
    <xdr:to>
      <xdr:col>18</xdr:col>
      <xdr:colOff>561975</xdr:colOff>
      <xdr:row>84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9070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84</xdr:row>
      <xdr:rowOff>95250</xdr:rowOff>
    </xdr:from>
    <xdr:to>
      <xdr:col>18</xdr:col>
      <xdr:colOff>523875</xdr:colOff>
      <xdr:row>86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1641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86</xdr:row>
      <xdr:rowOff>152400</xdr:rowOff>
    </xdr:from>
    <xdr:to>
      <xdr:col>18</xdr:col>
      <xdr:colOff>295275</xdr:colOff>
      <xdr:row>88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5451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79</xdr:row>
      <xdr:rowOff>0</xdr:rowOff>
    </xdr:from>
    <xdr:to>
      <xdr:col>21</xdr:col>
      <xdr:colOff>447675</xdr:colOff>
      <xdr:row>80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2593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81</xdr:row>
      <xdr:rowOff>0</xdr:rowOff>
    </xdr:from>
    <xdr:to>
      <xdr:col>20</xdr:col>
      <xdr:colOff>609600</xdr:colOff>
      <xdr:row>82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5831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82</xdr:row>
      <xdr:rowOff>161925</xdr:rowOff>
    </xdr:from>
    <xdr:to>
      <xdr:col>21</xdr:col>
      <xdr:colOff>57150</xdr:colOff>
      <xdr:row>85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9070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86</xdr:row>
      <xdr:rowOff>38100</xdr:rowOff>
    </xdr:from>
    <xdr:to>
      <xdr:col>21</xdr:col>
      <xdr:colOff>419100</xdr:colOff>
      <xdr:row>87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84308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1">
        <row r="9">
          <cell r="B9" t="str">
            <v>SINAPI - 01/01/2014 - COM DESONERAÇÃO - SICR0  01/11/2013</v>
          </cell>
        </row>
        <row r="10">
          <cell r="B10">
            <v>0.25</v>
          </cell>
        </row>
      </sheetData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8" bestFit="1" customWidth="1"/>
    <col min="8" max="8" width="12.140625" style="0" bestFit="1" customWidth="1"/>
  </cols>
  <sheetData>
    <row r="1" ht="12.75">
      <c r="B1" s="676" t="s">
        <v>551</v>
      </c>
    </row>
    <row r="2" spans="1:4" ht="12.75">
      <c r="A2" s="10" t="s">
        <v>312</v>
      </c>
      <c r="B2" s="677"/>
      <c r="C2" s="10" t="s">
        <v>313</v>
      </c>
      <c r="D2" s="168" t="s">
        <v>34</v>
      </c>
    </row>
    <row r="3" spans="1:5" ht="12.75">
      <c r="A3" s="228" t="s">
        <v>152</v>
      </c>
      <c r="B3" s="122" t="s">
        <v>314</v>
      </c>
      <c r="C3" s="11" t="s">
        <v>315</v>
      </c>
      <c r="D3" s="240">
        <v>10</v>
      </c>
      <c r="E3" s="58" t="s">
        <v>162</v>
      </c>
    </row>
    <row r="4" spans="1:5" ht="14.25">
      <c r="A4" s="506">
        <v>73599</v>
      </c>
      <c r="B4" s="122" t="s">
        <v>425</v>
      </c>
      <c r="C4" s="11"/>
      <c r="D4" s="240"/>
      <c r="E4" s="58"/>
    </row>
    <row r="5" spans="1:5" ht="14.25">
      <c r="A5" s="228" t="s">
        <v>213</v>
      </c>
      <c r="B5" s="144" t="s">
        <v>318</v>
      </c>
      <c r="C5" s="11" t="s">
        <v>315</v>
      </c>
      <c r="D5" s="240"/>
      <c r="E5" s="58" t="s">
        <v>162</v>
      </c>
    </row>
    <row r="6" spans="1:5" ht="12.75">
      <c r="A6" s="228" t="s">
        <v>197</v>
      </c>
      <c r="B6" s="122" t="s">
        <v>317</v>
      </c>
      <c r="C6" s="11" t="s">
        <v>316</v>
      </c>
      <c r="D6" s="240"/>
      <c r="E6" s="58" t="s">
        <v>162</v>
      </c>
    </row>
    <row r="7" spans="1:5" ht="12.75">
      <c r="A7" s="228" t="s">
        <v>403</v>
      </c>
      <c r="B7" s="122" t="s">
        <v>402</v>
      </c>
      <c r="C7" s="228" t="s">
        <v>316</v>
      </c>
      <c r="D7" s="186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40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40"/>
      <c r="E11" s="234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40"/>
      <c r="E12" s="234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40"/>
      <c r="E13" s="234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40"/>
      <c r="E14" s="234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40"/>
      <c r="E15" s="234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40"/>
      <c r="E16" s="234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40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40"/>
      <c r="E20" s="234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40"/>
      <c r="E21" s="234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40"/>
      <c r="E22" s="234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40"/>
      <c r="E23" s="234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40"/>
      <c r="E24" s="234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40"/>
      <c r="E25" s="234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40"/>
      <c r="E26" s="234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40"/>
      <c r="E27" s="234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40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40"/>
      <c r="E31" s="58" t="s">
        <v>162</v>
      </c>
    </row>
    <row r="33" spans="1:5" ht="12.75">
      <c r="A33" s="228" t="s">
        <v>264</v>
      </c>
      <c r="B33" s="122" t="s">
        <v>263</v>
      </c>
      <c r="C33" s="11" t="s">
        <v>338</v>
      </c>
      <c r="D33" s="240"/>
      <c r="E33" s="58" t="s">
        <v>162</v>
      </c>
    </row>
    <row r="34" spans="1:5" ht="12.75">
      <c r="A34" s="228" t="s">
        <v>266</v>
      </c>
      <c r="B34" s="122" t="s">
        <v>265</v>
      </c>
      <c r="C34" s="11" t="s">
        <v>338</v>
      </c>
      <c r="D34" s="240"/>
      <c r="E34" s="234" t="s">
        <v>162</v>
      </c>
    </row>
    <row r="35" spans="1:5" ht="12.75">
      <c r="A35" s="228" t="s">
        <v>268</v>
      </c>
      <c r="B35" s="122" t="s">
        <v>267</v>
      </c>
      <c r="C35" s="11" t="s">
        <v>338</v>
      </c>
      <c r="D35" s="240"/>
      <c r="E35" s="234" t="s">
        <v>162</v>
      </c>
    </row>
    <row r="36" spans="1:5" ht="12.75">
      <c r="A36" s="228" t="s">
        <v>270</v>
      </c>
      <c r="B36" s="122" t="s">
        <v>269</v>
      </c>
      <c r="C36" s="11" t="s">
        <v>338</v>
      </c>
      <c r="D36" s="240"/>
      <c r="E36" s="234" t="s">
        <v>162</v>
      </c>
    </row>
    <row r="37" spans="1:5" ht="12.75">
      <c r="A37" s="228" t="s">
        <v>393</v>
      </c>
      <c r="B37" s="122" t="s">
        <v>271</v>
      </c>
      <c r="C37" s="11" t="s">
        <v>338</v>
      </c>
      <c r="D37" s="240"/>
      <c r="E37" s="234" t="s">
        <v>162</v>
      </c>
    </row>
    <row r="40" spans="1:5" ht="12.75">
      <c r="A40" s="228" t="s">
        <v>273</v>
      </c>
      <c r="B40" s="122" t="s">
        <v>272</v>
      </c>
      <c r="C40" s="11" t="s">
        <v>338</v>
      </c>
      <c r="D40" s="240"/>
      <c r="E40" s="58" t="s">
        <v>162</v>
      </c>
    </row>
    <row r="41" spans="1:5" ht="12.75">
      <c r="A41" s="228" t="s">
        <v>275</v>
      </c>
      <c r="B41" s="122" t="s">
        <v>274</v>
      </c>
      <c r="C41" s="11" t="s">
        <v>338</v>
      </c>
      <c r="D41" s="240"/>
      <c r="E41" s="234" t="s">
        <v>162</v>
      </c>
    </row>
    <row r="42" spans="1:5" ht="12.75">
      <c r="A42" s="228" t="s">
        <v>277</v>
      </c>
      <c r="B42" s="122" t="s">
        <v>276</v>
      </c>
      <c r="C42" s="11" t="s">
        <v>338</v>
      </c>
      <c r="D42" s="240"/>
      <c r="E42" s="234" t="s">
        <v>162</v>
      </c>
    </row>
    <row r="43" spans="1:5" ht="12.75">
      <c r="A43" s="228" t="s">
        <v>279</v>
      </c>
      <c r="B43" s="122" t="s">
        <v>278</v>
      </c>
      <c r="C43" s="11" t="s">
        <v>338</v>
      </c>
      <c r="D43" s="240"/>
      <c r="E43" s="234" t="s">
        <v>162</v>
      </c>
    </row>
    <row r="44" spans="1:5" ht="12.75">
      <c r="A44" s="228" t="s">
        <v>281</v>
      </c>
      <c r="B44" s="122" t="s">
        <v>280</v>
      </c>
      <c r="C44" s="11" t="s">
        <v>338</v>
      </c>
      <c r="D44" s="240"/>
      <c r="E44" s="234" t="s">
        <v>162</v>
      </c>
    </row>
    <row r="45" ht="12.75">
      <c r="D45" s="170"/>
    </row>
    <row r="47" spans="1:5" ht="12.75">
      <c r="A47" s="11">
        <v>72961</v>
      </c>
      <c r="B47" s="122" t="s">
        <v>339</v>
      </c>
      <c r="C47" s="11" t="s">
        <v>315</v>
      </c>
      <c r="D47" s="240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40"/>
      <c r="E48" s="234" t="s">
        <v>162</v>
      </c>
    </row>
    <row r="49" spans="1:5" ht="12.75">
      <c r="A49" s="228" t="s">
        <v>233</v>
      </c>
      <c r="B49" s="122" t="s">
        <v>234</v>
      </c>
      <c r="C49" s="11" t="s">
        <v>316</v>
      </c>
      <c r="D49" s="240"/>
      <c r="E49" s="234" t="s">
        <v>162</v>
      </c>
    </row>
    <row r="50" spans="1:5" ht="12.75">
      <c r="A50" s="228" t="s">
        <v>348</v>
      </c>
      <c r="B50" s="122" t="s">
        <v>347</v>
      </c>
      <c r="C50" s="11" t="s">
        <v>316</v>
      </c>
      <c r="D50" s="240"/>
      <c r="E50" s="234" t="s">
        <v>162</v>
      </c>
    </row>
    <row r="51" spans="1:8" ht="14.25">
      <c r="A51" s="228" t="s">
        <v>157</v>
      </c>
      <c r="B51" s="122" t="s">
        <v>341</v>
      </c>
      <c r="C51" s="11" t="s">
        <v>320</v>
      </c>
      <c r="D51" s="240"/>
      <c r="E51" s="234" t="s">
        <v>162</v>
      </c>
      <c r="H51" s="247"/>
    </row>
    <row r="52" spans="1:5" ht="12.75">
      <c r="A52" s="228" t="s">
        <v>343</v>
      </c>
      <c r="B52" s="122" t="s">
        <v>342</v>
      </c>
      <c r="C52" s="11" t="s">
        <v>320</v>
      </c>
      <c r="D52" s="240"/>
      <c r="E52" s="234" t="s">
        <v>162</v>
      </c>
    </row>
    <row r="53" spans="1:5" s="246" customFormat="1" ht="12.75">
      <c r="A53" s="241" t="s">
        <v>307</v>
      </c>
      <c r="B53" s="242" t="s">
        <v>344</v>
      </c>
      <c r="C53" s="243" t="s">
        <v>315</v>
      </c>
      <c r="D53" s="244"/>
      <c r="E53" s="245" t="s">
        <v>162</v>
      </c>
    </row>
    <row r="54" spans="1:5" ht="12.75">
      <c r="A54" s="228" t="s">
        <v>216</v>
      </c>
      <c r="B54" s="122" t="s">
        <v>384</v>
      </c>
      <c r="C54" s="11" t="s">
        <v>315</v>
      </c>
      <c r="D54" s="240"/>
      <c r="E54" s="234" t="s">
        <v>162</v>
      </c>
    </row>
    <row r="55" spans="1:5" ht="12.75">
      <c r="A55" s="228" t="s">
        <v>345</v>
      </c>
      <c r="B55" s="122" t="s">
        <v>385</v>
      </c>
      <c r="C55" s="11" t="s">
        <v>315</v>
      </c>
      <c r="D55" s="240"/>
      <c r="E55" s="234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40"/>
      <c r="E56" s="234" t="s">
        <v>162</v>
      </c>
    </row>
    <row r="57" spans="1:4" ht="12.75">
      <c r="A57" s="8"/>
      <c r="B57" s="169"/>
      <c r="C57" s="8"/>
      <c r="D57" s="170"/>
    </row>
    <row r="58" spans="1:4" ht="12.75">
      <c r="A58" s="8"/>
      <c r="B58" s="169"/>
      <c r="C58" s="8"/>
      <c r="D58" s="170"/>
    </row>
    <row r="59" spans="1:5" ht="12.75">
      <c r="A59" s="228" t="s">
        <v>217</v>
      </c>
      <c r="B59" s="122" t="s">
        <v>349</v>
      </c>
      <c r="C59" s="11" t="s">
        <v>315</v>
      </c>
      <c r="D59" s="240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40"/>
      <c r="E60" s="234" t="s">
        <v>162</v>
      </c>
    </row>
    <row r="61" spans="1:4" ht="12.75">
      <c r="A61" s="8"/>
      <c r="B61" s="169"/>
      <c r="C61" s="8"/>
      <c r="D61" s="170"/>
    </row>
    <row r="63" spans="1:5" ht="12.75">
      <c r="A63" s="11">
        <v>72942</v>
      </c>
      <c r="B63" s="122" t="s">
        <v>351</v>
      </c>
      <c r="C63" s="11" t="s">
        <v>315</v>
      </c>
      <c r="D63" s="240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40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40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40"/>
      <c r="E66" s="234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40"/>
      <c r="E67" s="234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40"/>
      <c r="E68" s="234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40"/>
      <c r="E69" s="234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40"/>
      <c r="E70" s="234" t="s">
        <v>162</v>
      </c>
    </row>
    <row r="71" spans="1:5" ht="12.75">
      <c r="A71" s="11">
        <v>72965</v>
      </c>
      <c r="B71" s="237" t="s">
        <v>394</v>
      </c>
      <c r="C71" s="11" t="s">
        <v>316</v>
      </c>
      <c r="D71" s="240"/>
      <c r="E71" s="234" t="s">
        <v>162</v>
      </c>
    </row>
    <row r="72" ht="12.75">
      <c r="D72" s="186"/>
    </row>
    <row r="75" spans="1:5" ht="12.75">
      <c r="A75" s="228" t="s">
        <v>163</v>
      </c>
      <c r="B75" s="122" t="s">
        <v>360</v>
      </c>
      <c r="C75" s="11"/>
      <c r="D75" s="240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40"/>
      <c r="E76" s="58" t="s">
        <v>162</v>
      </c>
    </row>
    <row r="77" spans="1:5" ht="12.75">
      <c r="A77" s="228" t="s">
        <v>310</v>
      </c>
      <c r="B77" s="122" t="s">
        <v>361</v>
      </c>
      <c r="C77" s="11" t="s">
        <v>362</v>
      </c>
      <c r="D77" s="240"/>
      <c r="E77" s="58" t="s">
        <v>162</v>
      </c>
    </row>
    <row r="78" spans="1:5" ht="12.75">
      <c r="A78" s="228" t="s">
        <v>364</v>
      </c>
      <c r="B78" s="122" t="s">
        <v>363</v>
      </c>
      <c r="C78" s="11" t="s">
        <v>362</v>
      </c>
      <c r="D78" s="240"/>
      <c r="E78" s="234" t="s">
        <v>162</v>
      </c>
    </row>
    <row r="79" spans="1:5" ht="12.75">
      <c r="A79" s="228" t="s">
        <v>311</v>
      </c>
      <c r="B79" s="122" t="s">
        <v>365</v>
      </c>
      <c r="C79" s="11" t="s">
        <v>362</v>
      </c>
      <c r="D79" s="240"/>
      <c r="E79" s="234" t="s">
        <v>162</v>
      </c>
    </row>
    <row r="80" spans="1:5" ht="12.75">
      <c r="A80" s="228" t="s">
        <v>367</v>
      </c>
      <c r="B80" s="122" t="s">
        <v>366</v>
      </c>
      <c r="C80" s="11" t="s">
        <v>362</v>
      </c>
      <c r="D80" s="240"/>
      <c r="E80" s="234" t="s">
        <v>162</v>
      </c>
    </row>
    <row r="81" spans="1:5" ht="12.75">
      <c r="A81" s="228" t="s">
        <v>35</v>
      </c>
      <c r="B81" s="122" t="s">
        <v>368</v>
      </c>
      <c r="C81" s="11" t="s">
        <v>316</v>
      </c>
      <c r="D81" s="240"/>
      <c r="E81" s="234" t="s">
        <v>162</v>
      </c>
    </row>
    <row r="82" spans="1:5" ht="12.75">
      <c r="A82" s="228" t="s">
        <v>370</v>
      </c>
      <c r="B82" s="122" t="s">
        <v>369</v>
      </c>
      <c r="C82" s="11" t="s">
        <v>316</v>
      </c>
      <c r="D82" s="240"/>
      <c r="E82" s="234" t="s">
        <v>162</v>
      </c>
    </row>
    <row r="83" spans="1:5" ht="12.75">
      <c r="A83" s="228" t="s">
        <v>372</v>
      </c>
      <c r="B83" s="122" t="s">
        <v>371</v>
      </c>
      <c r="C83" s="11" t="s">
        <v>316</v>
      </c>
      <c r="D83" s="240"/>
      <c r="E83" s="234" t="s">
        <v>162</v>
      </c>
    </row>
    <row r="84" spans="1:5" ht="12.75">
      <c r="A84" s="228" t="s">
        <v>309</v>
      </c>
      <c r="B84" s="122" t="s">
        <v>308</v>
      </c>
      <c r="C84" s="11" t="s">
        <v>316</v>
      </c>
      <c r="D84" s="240"/>
      <c r="E84" s="234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40"/>
      <c r="E85" s="234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40"/>
      <c r="E86" s="234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40"/>
      <c r="E87" s="234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40"/>
      <c r="E88" s="234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40"/>
      <c r="E89" s="234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40"/>
      <c r="E90" s="234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40"/>
      <c r="E91" s="234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40"/>
      <c r="E92" s="234" t="s">
        <v>162</v>
      </c>
    </row>
    <row r="94" ht="12.75">
      <c r="D94" s="186"/>
    </row>
    <row r="95" spans="1:5" ht="14.25">
      <c r="A95" s="228" t="s">
        <v>218</v>
      </c>
      <c r="B95" s="145" t="s">
        <v>382</v>
      </c>
      <c r="C95" s="11" t="s">
        <v>338</v>
      </c>
      <c r="D95" s="186"/>
      <c r="E95" s="58" t="s">
        <v>162</v>
      </c>
    </row>
    <row r="96" spans="1:5" ht="12.75">
      <c r="A96" s="228" t="s">
        <v>153</v>
      </c>
      <c r="B96" s="122" t="s">
        <v>381</v>
      </c>
      <c r="C96" s="11" t="s">
        <v>338</v>
      </c>
      <c r="D96" s="240"/>
      <c r="E96" s="234" t="s">
        <v>162</v>
      </c>
    </row>
    <row r="97" spans="1:5" ht="12.75">
      <c r="A97" s="11">
        <v>72947</v>
      </c>
      <c r="B97" s="237" t="s">
        <v>396</v>
      </c>
      <c r="C97" s="228" t="s">
        <v>3</v>
      </c>
      <c r="D97" s="240"/>
      <c r="E97" s="234" t="s">
        <v>162</v>
      </c>
    </row>
    <row r="98" spans="1:5" ht="12.75">
      <c r="A98" s="228" t="s">
        <v>397</v>
      </c>
      <c r="B98" s="237" t="s">
        <v>398</v>
      </c>
      <c r="C98" s="228" t="s">
        <v>3</v>
      </c>
      <c r="D98" s="186"/>
      <c r="E98" s="234" t="s">
        <v>162</v>
      </c>
    </row>
    <row r="99" spans="1:5" ht="12.75">
      <c r="A99" s="228" t="s">
        <v>395</v>
      </c>
      <c r="B99" s="237" t="s">
        <v>399</v>
      </c>
      <c r="C99" s="228" t="s">
        <v>4</v>
      </c>
      <c r="D99" s="186"/>
      <c r="E99" s="234" t="s">
        <v>162</v>
      </c>
    </row>
    <row r="100" spans="1:5" ht="12.75">
      <c r="A100" s="228" t="s">
        <v>401</v>
      </c>
      <c r="B100" s="122" t="s">
        <v>400</v>
      </c>
      <c r="C100" s="228" t="s">
        <v>50</v>
      </c>
      <c r="D100" s="186"/>
      <c r="E100" s="234" t="s">
        <v>162</v>
      </c>
    </row>
    <row r="101" spans="1:5" ht="12.75">
      <c r="A101" s="228" t="s">
        <v>407</v>
      </c>
      <c r="B101" s="122" t="s">
        <v>406</v>
      </c>
      <c r="C101" s="228" t="s">
        <v>4</v>
      </c>
      <c r="D101" s="186"/>
      <c r="E101" s="234" t="s">
        <v>162</v>
      </c>
    </row>
    <row r="102" spans="1:5" ht="12.75">
      <c r="A102" s="228" t="s">
        <v>409</v>
      </c>
      <c r="B102" s="122" t="s">
        <v>408</v>
      </c>
      <c r="C102" s="228" t="s">
        <v>2</v>
      </c>
      <c r="D102" s="186"/>
      <c r="E102" s="234" t="s">
        <v>226</v>
      </c>
    </row>
    <row r="104" spans="1:4" ht="14.25">
      <c r="A104" s="11" t="s">
        <v>415</v>
      </c>
      <c r="B104" s="145" t="s">
        <v>382</v>
      </c>
      <c r="C104" s="228" t="s">
        <v>3</v>
      </c>
      <c r="D104" s="240"/>
    </row>
    <row r="105" spans="1:4" ht="12.75">
      <c r="A105" s="11" t="s">
        <v>153</v>
      </c>
      <c r="B105" s="122" t="s">
        <v>381</v>
      </c>
      <c r="C105" s="11" t="s">
        <v>338</v>
      </c>
      <c r="D105" s="240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0">
      <selection activeCell="G12" sqref="G12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3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46" t="s">
        <v>21</v>
      </c>
      <c r="C1" s="646" t="s">
        <v>22</v>
      </c>
      <c r="D1" s="1126" t="str">
        <f>'dados de entrada'!B9</f>
        <v>SINAPI - 01/01/2014 - COM DESONERAÇÃO - SICRO 01/11/2013</v>
      </c>
      <c r="E1" s="1126"/>
      <c r="F1" s="1127"/>
      <c r="G1" s="251"/>
      <c r="H1" s="356" t="s">
        <v>230</v>
      </c>
      <c r="I1" s="251"/>
      <c r="J1" s="251"/>
    </row>
    <row r="2" spans="1:10" ht="12.75">
      <c r="A2" s="647" t="str">
        <f>'dados de entrada'!B15</f>
        <v>PREFEITURA MUNICIPAL DE BOMBINHAS</v>
      </c>
      <c r="B2" s="648"/>
      <c r="C2" s="252"/>
      <c r="D2" s="252"/>
      <c r="E2" s="252" t="s">
        <v>23</v>
      </c>
      <c r="F2" s="649" t="s">
        <v>24</v>
      </c>
      <c r="G2" s="251"/>
      <c r="H2" s="251"/>
      <c r="I2" s="251"/>
      <c r="J2" s="251"/>
    </row>
    <row r="3" spans="1:10" ht="12.75">
      <c r="A3" s="647" t="str">
        <f>'dados de entrada'!C19</f>
        <v>RUA CABRITO - BAIRRO JOSÉ AMANDIO</v>
      </c>
      <c r="B3" s="648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47" t="str">
        <f>'dados de entrada'!B8</f>
        <v>PAVIMENTAÇÃO COM LAJOTAS SEXTAVADAS E DRENAGEM PLUVIAL </v>
      </c>
      <c r="B4" s="648"/>
      <c r="C4" s="252"/>
      <c r="D4" s="252"/>
      <c r="E4" s="252"/>
      <c r="F4" s="650"/>
      <c r="G4" s="251"/>
      <c r="H4" s="251"/>
      <c r="I4" s="251"/>
      <c r="J4" s="251"/>
    </row>
    <row r="5" spans="1:10" ht="12.75">
      <c r="A5" s="1128" t="s">
        <v>27</v>
      </c>
      <c r="B5" s="1129"/>
      <c r="C5" s="1129"/>
      <c r="D5" s="1129"/>
      <c r="E5" s="1129"/>
      <c r="F5" s="1130"/>
      <c r="G5" s="251"/>
      <c r="H5" s="251"/>
      <c r="I5" s="251"/>
      <c r="J5" s="251"/>
    </row>
    <row r="6" spans="1:10" ht="12.75">
      <c r="A6" s="1131"/>
      <c r="B6" s="1132"/>
      <c r="C6" s="1132"/>
      <c r="D6" s="1132"/>
      <c r="E6" s="1132"/>
      <c r="F6" s="1133"/>
      <c r="G6" s="251"/>
      <c r="H6" s="251"/>
      <c r="I6" s="251"/>
      <c r="J6" s="251"/>
    </row>
    <row r="7" spans="1:10" ht="12.75">
      <c r="A7" s="1131" t="s">
        <v>28</v>
      </c>
      <c r="B7" s="1132"/>
      <c r="C7" s="1132"/>
      <c r="D7" s="1132" t="s">
        <v>29</v>
      </c>
      <c r="E7" s="1132"/>
      <c r="F7" s="651" t="s">
        <v>13</v>
      </c>
      <c r="G7" s="251"/>
      <c r="H7" s="251"/>
      <c r="I7" s="251"/>
      <c r="J7" s="251"/>
    </row>
    <row r="8" spans="1:10" ht="13.5" thickBot="1">
      <c r="A8" s="1134" t="s">
        <v>460</v>
      </c>
      <c r="B8" s="1135"/>
      <c r="C8" s="1135"/>
      <c r="D8" s="1132" t="s">
        <v>4</v>
      </c>
      <c r="E8" s="1132"/>
      <c r="F8" s="652">
        <f>'dados de entrada'!B3</f>
        <v>41671</v>
      </c>
      <c r="G8" s="251"/>
      <c r="H8" s="251"/>
      <c r="I8" s="251"/>
      <c r="J8" s="251"/>
    </row>
    <row r="9" spans="1:11" ht="13.5" thickBot="1">
      <c r="A9" s="1131"/>
      <c r="B9" s="1132"/>
      <c r="C9" s="1132"/>
      <c r="D9" s="1132"/>
      <c r="E9" s="1132"/>
      <c r="F9" s="1133"/>
      <c r="G9" s="251"/>
      <c r="H9" s="1136" t="s">
        <v>220</v>
      </c>
      <c r="I9" s="1137"/>
      <c r="J9" s="249">
        <f>Escavação!W30</f>
        <v>1.16</v>
      </c>
      <c r="K9" s="248" t="s">
        <v>426</v>
      </c>
    </row>
    <row r="10" spans="1:11" ht="13.5" thickBot="1">
      <c r="A10" s="634" t="s">
        <v>0</v>
      </c>
      <c r="B10" s="322" t="s">
        <v>30</v>
      </c>
      <c r="C10" s="322" t="s">
        <v>31</v>
      </c>
      <c r="D10" s="322" t="s">
        <v>32</v>
      </c>
      <c r="E10" s="322" t="s">
        <v>33</v>
      </c>
      <c r="F10" s="651" t="s">
        <v>34</v>
      </c>
      <c r="G10" s="251"/>
      <c r="H10" s="1136" t="s">
        <v>221</v>
      </c>
      <c r="I10" s="1137"/>
      <c r="J10" s="249">
        <f>((J9-0.2)*4*O13)-P14</f>
        <v>514.96</v>
      </c>
      <c r="K10" s="248" t="s">
        <v>427</v>
      </c>
    </row>
    <row r="11" spans="1:10" ht="12.75">
      <c r="A11" s="619">
        <v>73599</v>
      </c>
      <c r="B11" s="620" t="s">
        <v>425</v>
      </c>
      <c r="C11" s="621">
        <f>ROUNDUP(J9*1.7*1.7,1)</f>
        <v>3.4</v>
      </c>
      <c r="D11" s="622" t="s">
        <v>9</v>
      </c>
      <c r="E11" s="623">
        <v>7.67</v>
      </c>
      <c r="F11" s="624">
        <f aca="true" t="shared" si="0" ref="F11:F21">C11*E11</f>
        <v>26.078</v>
      </c>
      <c r="G11" s="251"/>
      <c r="H11" s="251"/>
      <c r="I11" s="251"/>
      <c r="J11" s="251"/>
    </row>
    <row r="12" spans="1:15" ht="12.75" customHeight="1">
      <c r="A12" s="625" t="s">
        <v>197</v>
      </c>
      <c r="B12" s="626" t="s">
        <v>428</v>
      </c>
      <c r="C12" s="621">
        <f>1.7*1.7*0.1</f>
        <v>0.289</v>
      </c>
      <c r="D12" s="622" t="s">
        <v>9</v>
      </c>
      <c r="E12" s="623">
        <v>97.19</v>
      </c>
      <c r="F12" s="624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619" t="s">
        <v>35</v>
      </c>
      <c r="B13" s="626" t="s">
        <v>429</v>
      </c>
      <c r="C13" s="621">
        <f>1.7*1.7*0.1</f>
        <v>0.289</v>
      </c>
      <c r="D13" s="622" t="s">
        <v>9</v>
      </c>
      <c r="E13" s="623">
        <v>353.6</v>
      </c>
      <c r="F13" s="624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19">
        <v>34</v>
      </c>
      <c r="B14" s="626" t="s">
        <v>219</v>
      </c>
      <c r="C14" s="628">
        <v>37</v>
      </c>
      <c r="D14" s="622" t="s">
        <v>36</v>
      </c>
      <c r="E14" s="623">
        <v>3.66</v>
      </c>
      <c r="F14" s="624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29">
        <v>7258</v>
      </c>
      <c r="B15" s="620" t="s">
        <v>224</v>
      </c>
      <c r="C15" s="630">
        <f>ROUNDUP(J10,0)</f>
        <v>515</v>
      </c>
      <c r="D15" s="322" t="s">
        <v>4</v>
      </c>
      <c r="E15" s="645">
        <v>0.45</v>
      </c>
      <c r="F15" s="632">
        <f t="shared" si="0"/>
        <v>231.75</v>
      </c>
      <c r="G15" s="251"/>
      <c r="H15" s="251"/>
      <c r="I15" s="251"/>
      <c r="J15" s="251"/>
    </row>
    <row r="16" spans="1:11" ht="12.75" customHeight="1" thickBot="1">
      <c r="A16" s="619">
        <v>371</v>
      </c>
      <c r="B16" s="626" t="s">
        <v>225</v>
      </c>
      <c r="C16" s="628">
        <f>ROUNDUP(J16,0)</f>
        <v>129</v>
      </c>
      <c r="D16" s="622" t="s">
        <v>36</v>
      </c>
      <c r="E16" s="623">
        <v>0.35</v>
      </c>
      <c r="F16" s="624">
        <f t="shared" si="0"/>
        <v>45.15</v>
      </c>
      <c r="G16" s="251"/>
      <c r="H16" s="1136" t="s">
        <v>146</v>
      </c>
      <c r="I16" s="1137"/>
      <c r="J16" s="249">
        <f>C15*0.25</f>
        <v>128.75</v>
      </c>
      <c r="K16" s="248" t="s">
        <v>222</v>
      </c>
    </row>
    <row r="17" spans="1:10" ht="25.5">
      <c r="A17" s="619" t="s">
        <v>35</v>
      </c>
      <c r="B17" s="633" t="s">
        <v>430</v>
      </c>
      <c r="C17" s="621">
        <f>ROUNDUP((1.2*1.2*0.15)-(PI()*(((0.6/2)^2)*0.15)),1)</f>
        <v>0.2</v>
      </c>
      <c r="D17" s="622" t="s">
        <v>9</v>
      </c>
      <c r="E17" s="623">
        <v>353.6</v>
      </c>
      <c r="F17" s="624">
        <f t="shared" si="0"/>
        <v>70.72000000000001</v>
      </c>
      <c r="G17" s="251"/>
      <c r="H17" s="251"/>
      <c r="I17" s="251"/>
      <c r="J17" s="251"/>
    </row>
    <row r="18" spans="1:10" ht="12.75">
      <c r="A18" s="619">
        <v>34</v>
      </c>
      <c r="B18" s="626" t="s">
        <v>219</v>
      </c>
      <c r="C18" s="628">
        <v>19</v>
      </c>
      <c r="D18" s="622" t="s">
        <v>36</v>
      </c>
      <c r="E18" s="623">
        <v>3.66</v>
      </c>
      <c r="F18" s="624">
        <f t="shared" si="0"/>
        <v>69.54</v>
      </c>
      <c r="G18" s="251"/>
      <c r="H18" s="251"/>
      <c r="I18" s="251"/>
      <c r="J18" s="251"/>
    </row>
    <row r="19" spans="1:10" ht="12.75">
      <c r="A19" s="634"/>
      <c r="B19" s="620"/>
      <c r="C19" s="635"/>
      <c r="D19" s="615"/>
      <c r="E19" s="623"/>
      <c r="F19" s="653"/>
      <c r="G19" s="251"/>
      <c r="H19" s="251"/>
      <c r="I19" s="251"/>
      <c r="J19" s="251"/>
    </row>
    <row r="20" spans="1:10" ht="12.75">
      <c r="A20" s="629"/>
      <c r="B20" s="620"/>
      <c r="C20" s="635"/>
      <c r="D20" s="615"/>
      <c r="E20" s="623"/>
      <c r="F20" s="632">
        <f t="shared" si="0"/>
        <v>0</v>
      </c>
      <c r="G20" s="251"/>
      <c r="H20" s="251"/>
      <c r="I20" s="251"/>
      <c r="J20" s="251"/>
    </row>
    <row r="21" spans="1:10" ht="12.75">
      <c r="A21" s="634"/>
      <c r="B21" s="322"/>
      <c r="C21" s="630"/>
      <c r="D21" s="322"/>
      <c r="E21" s="361"/>
      <c r="F21" s="632">
        <f t="shared" si="0"/>
        <v>0</v>
      </c>
      <c r="G21" s="251"/>
      <c r="H21" s="251"/>
      <c r="I21" s="251"/>
      <c r="J21" s="251"/>
    </row>
    <row r="22" spans="1:10" ht="12.75">
      <c r="A22" s="1131" t="s">
        <v>37</v>
      </c>
      <c r="B22" s="1132"/>
      <c r="C22" s="1132"/>
      <c r="D22" s="1132"/>
      <c r="E22" s="1132"/>
      <c r="F22" s="632">
        <f>SUM(F11:F21)</f>
        <v>708.9363099999999</v>
      </c>
      <c r="G22" s="251"/>
      <c r="H22" s="251"/>
      <c r="I22" s="251"/>
      <c r="J22" s="251"/>
    </row>
    <row r="23" spans="1:10" ht="12.75">
      <c r="A23" s="1131"/>
      <c r="B23" s="1132"/>
      <c r="C23" s="1132"/>
      <c r="D23" s="1132"/>
      <c r="E23" s="1132"/>
      <c r="F23" s="1133"/>
      <c r="G23" s="251"/>
      <c r="H23" s="251"/>
      <c r="I23" s="251"/>
      <c r="J23" s="251"/>
    </row>
    <row r="24" spans="1:10" ht="12.75">
      <c r="A24" s="634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651" t="s">
        <v>34</v>
      </c>
      <c r="G24" s="251"/>
      <c r="H24" s="251"/>
      <c r="I24" s="251"/>
      <c r="J24" s="251"/>
    </row>
    <row r="25" spans="1:10" ht="12.75">
      <c r="A25" s="654"/>
      <c r="B25" s="362" t="s">
        <v>38</v>
      </c>
      <c r="C25" s="357">
        <v>1.1</v>
      </c>
      <c r="D25" s="363" t="s">
        <v>212</v>
      </c>
      <c r="E25" s="357">
        <v>0.78</v>
      </c>
      <c r="F25" s="655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656"/>
      <c r="B26" s="364"/>
      <c r="C26" s="365"/>
      <c r="D26" s="358"/>
      <c r="E26" s="365"/>
      <c r="F26" s="657">
        <f>C26*E26</f>
        <v>0</v>
      </c>
      <c r="G26" s="251"/>
      <c r="H26" s="251"/>
      <c r="I26" s="251"/>
      <c r="J26" s="251"/>
    </row>
    <row r="27" spans="1:10" ht="12.75">
      <c r="A27" s="342"/>
      <c r="B27" s="317"/>
      <c r="C27" s="366"/>
      <c r="D27" s="317"/>
      <c r="E27" s="366"/>
      <c r="F27" s="658">
        <f>C27*E27</f>
        <v>0</v>
      </c>
      <c r="G27" s="251"/>
      <c r="H27" s="251"/>
      <c r="I27" s="251"/>
      <c r="J27" s="251"/>
    </row>
    <row r="28" spans="1:10" ht="12.75">
      <c r="A28" s="342"/>
      <c r="B28" s="317"/>
      <c r="C28" s="366"/>
      <c r="D28" s="317"/>
      <c r="E28" s="366"/>
      <c r="F28" s="658">
        <f>C28*E28</f>
        <v>0</v>
      </c>
      <c r="G28" s="251"/>
      <c r="H28" s="251"/>
      <c r="I28" s="251"/>
      <c r="J28" s="251"/>
    </row>
    <row r="29" spans="1:10" ht="12.75">
      <c r="A29" s="659"/>
      <c r="B29" s="359"/>
      <c r="C29" s="360"/>
      <c r="D29" s="359"/>
      <c r="E29" s="360"/>
      <c r="F29" s="660">
        <f>C29*E29</f>
        <v>0</v>
      </c>
      <c r="G29" s="251"/>
      <c r="H29" s="251"/>
      <c r="I29" s="251"/>
      <c r="J29" s="251"/>
    </row>
    <row r="30" spans="1:10" ht="12.75">
      <c r="A30" s="1131" t="s">
        <v>39</v>
      </c>
      <c r="B30" s="1132"/>
      <c r="C30" s="1132"/>
      <c r="D30" s="1132"/>
      <c r="E30" s="1132"/>
      <c r="F30" s="632">
        <f>SUM(F25:F29)</f>
        <v>0.8580000000000001</v>
      </c>
      <c r="G30" s="251"/>
      <c r="H30" s="251"/>
      <c r="I30" s="251"/>
      <c r="J30" s="251"/>
    </row>
    <row r="31" spans="1:10" ht="12.75">
      <c r="A31" s="1131"/>
      <c r="B31" s="1132"/>
      <c r="C31" s="1132"/>
      <c r="D31" s="1132"/>
      <c r="E31" s="1132"/>
      <c r="F31" s="1133"/>
      <c r="G31" s="251"/>
      <c r="H31" s="251"/>
      <c r="I31" s="251"/>
      <c r="J31" s="251"/>
    </row>
    <row r="32" spans="1:10" ht="12.75">
      <c r="A32" s="634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651" t="s">
        <v>34</v>
      </c>
      <c r="G32" s="251"/>
      <c r="H32" s="251"/>
      <c r="I32" s="251"/>
      <c r="J32" s="251"/>
    </row>
    <row r="33" spans="1:10" ht="12.75">
      <c r="A33" s="661">
        <v>6127</v>
      </c>
      <c r="B33" s="641" t="s">
        <v>41</v>
      </c>
      <c r="C33" s="361">
        <v>8.7</v>
      </c>
      <c r="D33" s="322" t="s">
        <v>212</v>
      </c>
      <c r="E33" s="642">
        <v>9.56</v>
      </c>
      <c r="F33" s="632">
        <f>C33*E33</f>
        <v>83.172</v>
      </c>
      <c r="G33" s="251"/>
      <c r="H33" s="251" t="s">
        <v>227</v>
      </c>
      <c r="I33" s="251" t="s">
        <v>431</v>
      </c>
      <c r="J33" s="251"/>
    </row>
    <row r="34" spans="1:10" ht="12.75">
      <c r="A34" s="661">
        <v>4750</v>
      </c>
      <c r="B34" s="641" t="s">
        <v>42</v>
      </c>
      <c r="C34" s="643">
        <v>7.3</v>
      </c>
      <c r="D34" s="622" t="s">
        <v>212</v>
      </c>
      <c r="E34" s="642">
        <v>11.79</v>
      </c>
      <c r="F34" s="624">
        <f>C34*E34</f>
        <v>86.067</v>
      </c>
      <c r="G34" s="251"/>
      <c r="H34" s="251" t="s">
        <v>228</v>
      </c>
      <c r="I34" s="251" t="s">
        <v>432</v>
      </c>
      <c r="J34" s="251"/>
    </row>
    <row r="35" spans="1:10" ht="12.75">
      <c r="A35" s="634"/>
      <c r="B35" s="644"/>
      <c r="C35" s="361"/>
      <c r="D35" s="322"/>
      <c r="E35" s="361"/>
      <c r="F35" s="624">
        <f>C35*E35</f>
        <v>0</v>
      </c>
      <c r="G35" s="251"/>
      <c r="H35" s="251"/>
      <c r="I35" s="251"/>
      <c r="J35" s="251"/>
    </row>
    <row r="36" spans="1:10" ht="12.75">
      <c r="A36" s="634"/>
      <c r="B36" s="644"/>
      <c r="C36" s="361"/>
      <c r="D36" s="322"/>
      <c r="E36" s="361"/>
      <c r="F36" s="624">
        <f>C36*E36</f>
        <v>0</v>
      </c>
      <c r="G36" s="251"/>
      <c r="H36" s="251"/>
      <c r="I36" s="251"/>
      <c r="J36" s="251"/>
    </row>
    <row r="37" spans="1:10" ht="12.75">
      <c r="A37" s="619"/>
      <c r="B37" s="626"/>
      <c r="C37" s="643"/>
      <c r="D37" s="622"/>
      <c r="E37" s="643"/>
      <c r="F37" s="624">
        <f>C37*E37</f>
        <v>0</v>
      </c>
      <c r="G37" s="251"/>
      <c r="H37" s="251"/>
      <c r="I37" s="251"/>
      <c r="J37" s="251"/>
    </row>
    <row r="38" spans="1:10" ht="12.75">
      <c r="A38" s="1131" t="s">
        <v>43</v>
      </c>
      <c r="B38" s="1132"/>
      <c r="C38" s="1132"/>
      <c r="D38" s="1132"/>
      <c r="E38" s="1132"/>
      <c r="F38" s="632">
        <f>SUM(F33:F37)</f>
        <v>169.23899999999998</v>
      </c>
      <c r="G38" s="251"/>
      <c r="H38" s="251"/>
      <c r="I38" s="251"/>
      <c r="J38" s="251"/>
    </row>
    <row r="39" spans="1:10" ht="12.75">
      <c r="A39" s="1131"/>
      <c r="B39" s="1132"/>
      <c r="C39" s="1132"/>
      <c r="D39" s="1132"/>
      <c r="E39" s="1132"/>
      <c r="F39" s="1133"/>
      <c r="G39" s="251"/>
      <c r="H39" s="251"/>
      <c r="I39" s="251"/>
      <c r="J39" s="251"/>
    </row>
    <row r="40" spans="1:10" ht="12.75">
      <c r="A40" s="1131" t="s">
        <v>44</v>
      </c>
      <c r="B40" s="1132"/>
      <c r="C40" s="1132"/>
      <c r="D40" s="1132"/>
      <c r="E40" s="1132"/>
      <c r="F40" s="632">
        <f>F38</f>
        <v>169.23899999999998</v>
      </c>
      <c r="G40" s="251"/>
      <c r="H40" s="251"/>
      <c r="I40" s="251"/>
      <c r="J40" s="251"/>
    </row>
    <row r="41" spans="1:10" ht="12.75">
      <c r="A41" s="1131"/>
      <c r="B41" s="1132"/>
      <c r="C41" s="1132"/>
      <c r="D41" s="1132"/>
      <c r="E41" s="1132"/>
      <c r="F41" s="1133"/>
      <c r="G41" s="251"/>
      <c r="H41" s="251"/>
      <c r="I41" s="251"/>
      <c r="J41" s="251"/>
    </row>
    <row r="42" spans="1:10" ht="12.75">
      <c r="A42" s="1131"/>
      <c r="B42" s="1132"/>
      <c r="C42" s="1132"/>
      <c r="D42" s="1132"/>
      <c r="E42" s="1132"/>
      <c r="F42" s="1133"/>
      <c r="G42" s="251"/>
      <c r="H42" s="251"/>
      <c r="I42" s="251"/>
      <c r="J42" s="251"/>
    </row>
    <row r="43" spans="1:10" ht="12.75">
      <c r="A43" s="1131" t="s">
        <v>45</v>
      </c>
      <c r="B43" s="1132"/>
      <c r="C43" s="1132"/>
      <c r="D43" s="1132"/>
      <c r="E43" s="1132"/>
      <c r="F43" s="632">
        <f>F40+F30+F22</f>
        <v>879.0333099999999</v>
      </c>
      <c r="G43" s="251"/>
      <c r="H43" s="251"/>
      <c r="I43" s="251"/>
      <c r="J43" s="251"/>
    </row>
    <row r="44" spans="1:10" ht="12.75">
      <c r="A44" s="1131"/>
      <c r="B44" s="1132"/>
      <c r="C44" s="1132"/>
      <c r="D44" s="1132"/>
      <c r="E44" s="1132"/>
      <c r="F44" s="1133"/>
      <c r="G44" s="251"/>
      <c r="H44" s="251"/>
      <c r="I44" s="251"/>
      <c r="J44" s="251"/>
    </row>
    <row r="45" spans="1:10" ht="12.75">
      <c r="A45" s="1131" t="s">
        <v>46</v>
      </c>
      <c r="B45" s="1132"/>
      <c r="C45" s="1132"/>
      <c r="D45" s="1132"/>
      <c r="E45" s="408">
        <f>'dados de entrada'!B10</f>
        <v>0.25</v>
      </c>
      <c r="F45" s="632">
        <f>F43*E45</f>
        <v>219.75832749999998</v>
      </c>
      <c r="G45" s="371" t="s">
        <v>229</v>
      </c>
      <c r="H45" s="251"/>
      <c r="I45" s="251"/>
      <c r="J45" s="251"/>
    </row>
    <row r="46" spans="1:10" ht="12.75">
      <c r="A46" s="1131"/>
      <c r="B46" s="1132"/>
      <c r="C46" s="1132"/>
      <c r="D46" s="1132"/>
      <c r="E46" s="1132"/>
      <c r="F46" s="1133"/>
      <c r="G46" s="251"/>
      <c r="H46" s="251"/>
      <c r="I46" s="251"/>
      <c r="J46" s="251"/>
    </row>
    <row r="47" spans="1:10" ht="12.75">
      <c r="A47" s="1131" t="s">
        <v>47</v>
      </c>
      <c r="B47" s="1132"/>
      <c r="C47" s="1132"/>
      <c r="D47" s="1132"/>
      <c r="E47" s="1132"/>
      <c r="F47" s="632">
        <f>F43+F45</f>
        <v>1098.7916375</v>
      </c>
      <c r="G47" s="251"/>
      <c r="H47" s="251"/>
      <c r="I47" s="251"/>
      <c r="J47" s="251"/>
    </row>
    <row r="48" spans="1:6" ht="13.5" thickBot="1">
      <c r="A48" s="1138"/>
      <c r="B48" s="1139"/>
      <c r="C48" s="1139"/>
      <c r="D48" s="1139"/>
      <c r="E48" s="1139"/>
      <c r="F48" s="1140"/>
    </row>
  </sheetData>
  <sheetProtection/>
  <mergeCells count="25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J21" sqref="J21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46" t="s">
        <v>21</v>
      </c>
      <c r="C1" s="646" t="s">
        <v>22</v>
      </c>
      <c r="D1" s="1141" t="str">
        <f>'dados de entrada'!B9</f>
        <v>SINAPI - 01/01/2014 - COM DESONERAÇÃO - SICRO 01/11/2013</v>
      </c>
      <c r="E1" s="1141"/>
      <c r="F1" s="1142"/>
      <c r="G1" s="251"/>
      <c r="H1" s="356" t="s">
        <v>230</v>
      </c>
      <c r="I1" s="251"/>
      <c r="J1" s="251"/>
    </row>
    <row r="2" spans="1:10" ht="12.75">
      <c r="A2" s="647" t="str">
        <f>'dados de entrada'!B15</f>
        <v>PREFEITURA MUNICIPAL DE BOMBINHAS</v>
      </c>
      <c r="B2" s="648"/>
      <c r="C2" s="252"/>
      <c r="D2" s="252"/>
      <c r="E2" s="252" t="s">
        <v>23</v>
      </c>
      <c r="F2" s="649" t="s">
        <v>24</v>
      </c>
      <c r="G2" s="251"/>
      <c r="H2" s="251"/>
      <c r="I2" s="251"/>
      <c r="J2" s="251"/>
    </row>
    <row r="3" spans="1:10" ht="12.75">
      <c r="A3" s="647" t="str">
        <f>'dados de entrada'!C19</f>
        <v>RUA CABRITO - BAIRRO JOSÉ AMANDIO</v>
      </c>
      <c r="B3" s="648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47" t="str">
        <f>'dados de entrada'!B8</f>
        <v>PAVIMENTAÇÃO COM LAJOTAS SEXTAVADAS E DRENAGEM PLUVIAL </v>
      </c>
      <c r="B4" s="648"/>
      <c r="C4" s="252"/>
      <c r="D4" s="252"/>
      <c r="E4" s="252"/>
      <c r="F4" s="650"/>
      <c r="G4" s="251"/>
      <c r="H4" s="251"/>
      <c r="I4" s="251"/>
      <c r="J4" s="251"/>
    </row>
    <row r="5" spans="1:10" ht="13.5" thickBot="1">
      <c r="A5" s="1128" t="s">
        <v>27</v>
      </c>
      <c r="B5" s="1129"/>
      <c r="C5" s="1129"/>
      <c r="D5" s="1129"/>
      <c r="E5" s="1129"/>
      <c r="F5" s="1130"/>
      <c r="G5" s="251"/>
      <c r="H5" s="251"/>
      <c r="I5" s="251"/>
      <c r="J5" s="251"/>
    </row>
    <row r="6" spans="1:10" ht="13.5" thickBot="1">
      <c r="A6" s="1131"/>
      <c r="B6" s="1132"/>
      <c r="C6" s="1132"/>
      <c r="D6" s="1132"/>
      <c r="E6" s="1132"/>
      <c r="F6" s="1133"/>
      <c r="G6" s="251"/>
      <c r="H6" s="251"/>
      <c r="I6" s="251"/>
      <c r="J6" s="407">
        <f>Escavação!W30</f>
        <v>1.16</v>
      </c>
    </row>
    <row r="7" spans="1:10" ht="12.75">
      <c r="A7" s="1131" t="s">
        <v>28</v>
      </c>
      <c r="B7" s="1132"/>
      <c r="C7" s="1132"/>
      <c r="D7" s="1132" t="s">
        <v>29</v>
      </c>
      <c r="E7" s="1132"/>
      <c r="F7" s="651" t="s">
        <v>13</v>
      </c>
      <c r="G7" s="251"/>
      <c r="H7" s="251"/>
      <c r="I7" s="251"/>
      <c r="J7" s="251"/>
    </row>
    <row r="8" spans="1:10" ht="13.5" thickBot="1">
      <c r="A8" s="1134" t="s">
        <v>461</v>
      </c>
      <c r="B8" s="1135"/>
      <c r="C8" s="1135"/>
      <c r="D8" s="1132" t="s">
        <v>4</v>
      </c>
      <c r="E8" s="1132"/>
      <c r="F8" s="652">
        <f>'dados de entrada'!B3</f>
        <v>41671</v>
      </c>
      <c r="G8" s="251"/>
      <c r="H8" s="251"/>
      <c r="I8" s="251"/>
      <c r="J8" s="251"/>
    </row>
    <row r="9" spans="1:11" ht="13.5" thickBot="1">
      <c r="A9" s="1131"/>
      <c r="B9" s="1132"/>
      <c r="C9" s="1132"/>
      <c r="D9" s="1132"/>
      <c r="E9" s="1132"/>
      <c r="F9" s="1133"/>
      <c r="G9" s="251"/>
      <c r="H9" s="1136" t="s">
        <v>462</v>
      </c>
      <c r="I9" s="1137"/>
      <c r="J9" s="249">
        <v>0.9</v>
      </c>
      <c r="K9" s="248" t="s">
        <v>426</v>
      </c>
    </row>
    <row r="10" spans="1:11" ht="13.5" thickBot="1">
      <c r="A10" s="634" t="s">
        <v>0</v>
      </c>
      <c r="B10" s="322" t="s">
        <v>30</v>
      </c>
      <c r="C10" s="322" t="s">
        <v>31</v>
      </c>
      <c r="D10" s="322" t="s">
        <v>32</v>
      </c>
      <c r="E10" s="322" t="s">
        <v>33</v>
      </c>
      <c r="F10" s="651" t="s">
        <v>34</v>
      </c>
      <c r="G10" s="251"/>
      <c r="H10" s="1136" t="s">
        <v>221</v>
      </c>
      <c r="I10" s="1137"/>
      <c r="J10" s="249">
        <f>((J9-0.2)*4*O13)-P14</f>
        <v>365.2</v>
      </c>
      <c r="K10" s="248" t="s">
        <v>427</v>
      </c>
    </row>
    <row r="11" spans="1:10" ht="12.75">
      <c r="A11" s="619">
        <v>73599</v>
      </c>
      <c r="B11" s="620" t="s">
        <v>425</v>
      </c>
      <c r="C11" s="621">
        <f>ROUNDUP(1.7*1.7*J6,1)</f>
        <v>3.4</v>
      </c>
      <c r="D11" s="622" t="s">
        <v>9</v>
      </c>
      <c r="E11" s="623">
        <v>7.67</v>
      </c>
      <c r="F11" s="624">
        <f aca="true" t="shared" si="0" ref="F11:F21">C11*E11</f>
        <v>26.078</v>
      </c>
      <c r="G11" s="251"/>
      <c r="H11" s="251"/>
      <c r="I11" s="251"/>
      <c r="J11" s="251"/>
    </row>
    <row r="12" spans="1:15" ht="12.75" customHeight="1">
      <c r="A12" s="625" t="s">
        <v>197</v>
      </c>
      <c r="B12" s="626" t="s">
        <v>428</v>
      </c>
      <c r="C12" s="621">
        <f>1.7*1.7*0.1</f>
        <v>0.289</v>
      </c>
      <c r="D12" s="622" t="s">
        <v>9</v>
      </c>
      <c r="E12" s="623">
        <v>97.19</v>
      </c>
      <c r="F12" s="624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619" t="s">
        <v>35</v>
      </c>
      <c r="B13" s="626" t="s">
        <v>429</v>
      </c>
      <c r="C13" s="621">
        <f>1.7*1.7*0.1</f>
        <v>0.289</v>
      </c>
      <c r="D13" s="622" t="s">
        <v>9</v>
      </c>
      <c r="E13" s="623">
        <v>353.6</v>
      </c>
      <c r="F13" s="624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19">
        <v>34</v>
      </c>
      <c r="B14" s="626" t="s">
        <v>219</v>
      </c>
      <c r="C14" s="628">
        <v>37</v>
      </c>
      <c r="D14" s="622" t="s">
        <v>36</v>
      </c>
      <c r="E14" s="623">
        <v>3.66</v>
      </c>
      <c r="F14" s="624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29">
        <v>7258</v>
      </c>
      <c r="B15" s="620" t="s">
        <v>224</v>
      </c>
      <c r="C15" s="630">
        <f>ROUNDUP(J10,0)</f>
        <v>366</v>
      </c>
      <c r="D15" s="322" t="s">
        <v>4</v>
      </c>
      <c r="E15" s="645">
        <v>0.45</v>
      </c>
      <c r="F15" s="632">
        <f t="shared" si="0"/>
        <v>164.70000000000002</v>
      </c>
      <c r="G15" s="251"/>
      <c r="H15" s="251"/>
      <c r="I15" s="251"/>
      <c r="J15" s="251"/>
    </row>
    <row r="16" spans="1:11" ht="12.75" customHeight="1" thickBot="1">
      <c r="A16" s="619">
        <v>371</v>
      </c>
      <c r="B16" s="626" t="s">
        <v>225</v>
      </c>
      <c r="C16" s="628">
        <f>ROUNDUP(J16,0)</f>
        <v>92</v>
      </c>
      <c r="D16" s="622" t="s">
        <v>36</v>
      </c>
      <c r="E16" s="623">
        <v>0.35</v>
      </c>
      <c r="F16" s="624">
        <f t="shared" si="0"/>
        <v>32.199999999999996</v>
      </c>
      <c r="G16" s="251"/>
      <c r="H16" s="1136" t="s">
        <v>146</v>
      </c>
      <c r="I16" s="1137"/>
      <c r="J16" s="249">
        <f>C15*0.25</f>
        <v>91.5</v>
      </c>
      <c r="K16" s="248" t="s">
        <v>222</v>
      </c>
    </row>
    <row r="17" spans="1:10" ht="25.5">
      <c r="A17" s="619" t="s">
        <v>35</v>
      </c>
      <c r="B17" s="633" t="s">
        <v>416</v>
      </c>
      <c r="C17" s="621">
        <f>1.2*1.2*0.15</f>
        <v>0.216</v>
      </c>
      <c r="D17" s="622" t="s">
        <v>9</v>
      </c>
      <c r="E17" s="623">
        <v>353.6</v>
      </c>
      <c r="F17" s="624">
        <f t="shared" si="0"/>
        <v>76.3776</v>
      </c>
      <c r="G17" s="251"/>
      <c r="H17" s="251"/>
      <c r="I17" s="251"/>
      <c r="J17" s="251"/>
    </row>
    <row r="18" spans="1:10" ht="12.75">
      <c r="A18" s="619">
        <v>34</v>
      </c>
      <c r="B18" s="626" t="s">
        <v>219</v>
      </c>
      <c r="C18" s="628">
        <v>19</v>
      </c>
      <c r="D18" s="622" t="s">
        <v>36</v>
      </c>
      <c r="E18" s="623">
        <v>3.66</v>
      </c>
      <c r="F18" s="624">
        <f>C18*E18</f>
        <v>69.54</v>
      </c>
      <c r="G18" s="251"/>
      <c r="H18" s="251"/>
      <c r="I18" s="251"/>
      <c r="J18" s="251"/>
    </row>
    <row r="19" spans="1:10" ht="12.75">
      <c r="A19" s="634"/>
      <c r="B19" s="620"/>
      <c r="C19" s="635"/>
      <c r="D19" s="615"/>
      <c r="E19" s="623"/>
      <c r="F19" s="624"/>
      <c r="G19" s="251"/>
      <c r="H19" s="251"/>
      <c r="I19" s="251"/>
      <c r="J19" s="251"/>
    </row>
    <row r="20" spans="1:10" ht="12.75">
      <c r="A20" s="629"/>
      <c r="B20" s="620"/>
      <c r="C20" s="635"/>
      <c r="D20" s="615"/>
      <c r="E20" s="623"/>
      <c r="F20" s="632">
        <f t="shared" si="0"/>
        <v>0</v>
      </c>
      <c r="G20" s="251"/>
      <c r="H20" s="251"/>
      <c r="I20" s="251"/>
      <c r="J20" s="251"/>
    </row>
    <row r="21" spans="1:10" ht="12.75">
      <c r="A21" s="634"/>
      <c r="B21" s="322"/>
      <c r="C21" s="630"/>
      <c r="D21" s="322"/>
      <c r="E21" s="361"/>
      <c r="F21" s="632">
        <f t="shared" si="0"/>
        <v>0</v>
      </c>
      <c r="G21" s="251"/>
      <c r="H21" s="251"/>
      <c r="I21" s="251"/>
      <c r="J21" s="251"/>
    </row>
    <row r="22" spans="1:10" ht="12.75">
      <c r="A22" s="1131" t="s">
        <v>37</v>
      </c>
      <c r="B22" s="1132"/>
      <c r="C22" s="1132"/>
      <c r="D22" s="1132"/>
      <c r="E22" s="1132"/>
      <c r="F22" s="632">
        <f>SUM(F11:F21)</f>
        <v>634.5939099999999</v>
      </c>
      <c r="G22" s="251"/>
      <c r="H22" s="251"/>
      <c r="I22" s="251"/>
      <c r="J22" s="251"/>
    </row>
    <row r="23" spans="1:10" ht="12.75">
      <c r="A23" s="1131"/>
      <c r="B23" s="1132"/>
      <c r="C23" s="1132"/>
      <c r="D23" s="1132"/>
      <c r="E23" s="1132"/>
      <c r="F23" s="1133"/>
      <c r="G23" s="251"/>
      <c r="H23" s="251"/>
      <c r="I23" s="251"/>
      <c r="J23" s="251"/>
    </row>
    <row r="24" spans="1:10" ht="12.75">
      <c r="A24" s="634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651" t="s">
        <v>34</v>
      </c>
      <c r="G24" s="251"/>
      <c r="H24" s="251"/>
      <c r="I24" s="251"/>
      <c r="J24" s="251"/>
    </row>
    <row r="25" spans="1:10" ht="12.75">
      <c r="A25" s="654"/>
      <c r="B25" s="362" t="s">
        <v>38</v>
      </c>
      <c r="C25" s="357">
        <v>1.1</v>
      </c>
      <c r="D25" s="363" t="s">
        <v>212</v>
      </c>
      <c r="E25" s="357">
        <v>0.78</v>
      </c>
      <c r="F25" s="655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656"/>
      <c r="B26" s="364"/>
      <c r="C26" s="365"/>
      <c r="D26" s="358"/>
      <c r="E26" s="365"/>
      <c r="F26" s="657">
        <f>C26*E26</f>
        <v>0</v>
      </c>
      <c r="G26" s="251"/>
      <c r="H26" s="251"/>
      <c r="I26" s="251"/>
      <c r="J26" s="251"/>
    </row>
    <row r="27" spans="1:10" ht="12.75">
      <c r="A27" s="342"/>
      <c r="B27" s="317"/>
      <c r="C27" s="366"/>
      <c r="D27" s="317"/>
      <c r="E27" s="366"/>
      <c r="F27" s="658">
        <f>C27*E27</f>
        <v>0</v>
      </c>
      <c r="G27" s="251"/>
      <c r="H27" s="251"/>
      <c r="I27" s="251"/>
      <c r="J27" s="251"/>
    </row>
    <row r="28" spans="1:10" ht="12.75">
      <c r="A28" s="342"/>
      <c r="B28" s="317"/>
      <c r="C28" s="366"/>
      <c r="D28" s="317"/>
      <c r="E28" s="366"/>
      <c r="F28" s="658">
        <f>C28*E28</f>
        <v>0</v>
      </c>
      <c r="G28" s="251"/>
      <c r="H28" s="251"/>
      <c r="I28" s="251"/>
      <c r="J28" s="251"/>
    </row>
    <row r="29" spans="1:10" ht="12.75">
      <c r="A29" s="659"/>
      <c r="B29" s="359"/>
      <c r="C29" s="360"/>
      <c r="D29" s="359"/>
      <c r="E29" s="360"/>
      <c r="F29" s="660">
        <f>C29*E29</f>
        <v>0</v>
      </c>
      <c r="G29" s="251"/>
      <c r="H29" s="251"/>
      <c r="I29" s="251"/>
      <c r="J29" s="251"/>
    </row>
    <row r="30" spans="1:10" ht="12.75">
      <c r="A30" s="1131" t="s">
        <v>39</v>
      </c>
      <c r="B30" s="1132"/>
      <c r="C30" s="1132"/>
      <c r="D30" s="1132"/>
      <c r="E30" s="1132"/>
      <c r="F30" s="632">
        <f>SUM(F25:F29)</f>
        <v>0.8580000000000001</v>
      </c>
      <c r="G30" s="251"/>
      <c r="H30" s="251"/>
      <c r="I30" s="251"/>
      <c r="J30" s="251"/>
    </row>
    <row r="31" spans="1:10" ht="12.75">
      <c r="A31" s="1131"/>
      <c r="B31" s="1132"/>
      <c r="C31" s="1132"/>
      <c r="D31" s="1132"/>
      <c r="E31" s="1132"/>
      <c r="F31" s="1133"/>
      <c r="G31" s="251"/>
      <c r="H31" s="251"/>
      <c r="I31" s="251"/>
      <c r="J31" s="251"/>
    </row>
    <row r="32" spans="1:10" ht="12.75">
      <c r="A32" s="634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651" t="s">
        <v>34</v>
      </c>
      <c r="G32" s="251"/>
      <c r="H32" s="251"/>
      <c r="I32" s="251"/>
      <c r="J32" s="251"/>
    </row>
    <row r="33" spans="1:10" ht="12.75">
      <c r="A33" s="661">
        <v>6127</v>
      </c>
      <c r="B33" s="641" t="s">
        <v>41</v>
      </c>
      <c r="C33" s="361">
        <v>5</v>
      </c>
      <c r="D33" s="322" t="s">
        <v>212</v>
      </c>
      <c r="E33" s="642">
        <v>9.56</v>
      </c>
      <c r="F33" s="632">
        <f>C33*E33</f>
        <v>47.800000000000004</v>
      </c>
      <c r="G33" s="251"/>
      <c r="H33" s="251" t="s">
        <v>227</v>
      </c>
      <c r="I33" s="251" t="s">
        <v>431</v>
      </c>
      <c r="J33" s="251"/>
    </row>
    <row r="34" spans="1:10" ht="12.75">
      <c r="A34" s="661">
        <v>4750</v>
      </c>
      <c r="B34" s="641" t="s">
        <v>42</v>
      </c>
      <c r="C34" s="643">
        <v>4</v>
      </c>
      <c r="D34" s="622" t="s">
        <v>212</v>
      </c>
      <c r="E34" s="642">
        <v>11.79</v>
      </c>
      <c r="F34" s="624">
        <f>C34*E34</f>
        <v>47.16</v>
      </c>
      <c r="G34" s="251"/>
      <c r="H34" s="251" t="s">
        <v>228</v>
      </c>
      <c r="I34" s="251" t="s">
        <v>432</v>
      </c>
      <c r="J34" s="251"/>
    </row>
    <row r="35" spans="1:10" ht="12.75">
      <c r="A35" s="634"/>
      <c r="B35" s="644"/>
      <c r="C35" s="361"/>
      <c r="D35" s="322"/>
      <c r="E35" s="361"/>
      <c r="F35" s="624">
        <f>C35*E35</f>
        <v>0</v>
      </c>
      <c r="G35" s="251"/>
      <c r="H35" s="251"/>
      <c r="I35" s="251"/>
      <c r="J35" s="251"/>
    </row>
    <row r="36" spans="1:10" ht="12.75">
      <c r="A36" s="634"/>
      <c r="B36" s="644"/>
      <c r="C36" s="361"/>
      <c r="D36" s="322"/>
      <c r="E36" s="361"/>
      <c r="F36" s="624">
        <f>C36*E36</f>
        <v>0</v>
      </c>
      <c r="G36" s="251"/>
      <c r="H36" s="251"/>
      <c r="I36" s="251"/>
      <c r="J36" s="251"/>
    </row>
    <row r="37" spans="1:10" ht="12.75">
      <c r="A37" s="619"/>
      <c r="B37" s="626"/>
      <c r="C37" s="643"/>
      <c r="D37" s="622"/>
      <c r="E37" s="643"/>
      <c r="F37" s="624">
        <f>C37*E37</f>
        <v>0</v>
      </c>
      <c r="G37" s="251"/>
      <c r="H37" s="251"/>
      <c r="I37" s="251"/>
      <c r="J37" s="251"/>
    </row>
    <row r="38" spans="1:10" ht="12.75">
      <c r="A38" s="1131" t="s">
        <v>43</v>
      </c>
      <c r="B38" s="1132"/>
      <c r="C38" s="1132"/>
      <c r="D38" s="1132"/>
      <c r="E38" s="1132"/>
      <c r="F38" s="632">
        <f>SUM(F33:F37)</f>
        <v>94.96000000000001</v>
      </c>
      <c r="G38" s="251"/>
      <c r="H38" s="251"/>
      <c r="I38" s="251"/>
      <c r="J38" s="251"/>
    </row>
    <row r="39" spans="1:10" ht="12.75">
      <c r="A39" s="1131"/>
      <c r="B39" s="1132"/>
      <c r="C39" s="1132"/>
      <c r="D39" s="1132"/>
      <c r="E39" s="1132"/>
      <c r="F39" s="1133"/>
      <c r="G39" s="251"/>
      <c r="H39" s="251"/>
      <c r="I39" s="251"/>
      <c r="J39" s="251"/>
    </row>
    <row r="40" spans="1:10" ht="12.75">
      <c r="A40" s="1131" t="s">
        <v>44</v>
      </c>
      <c r="B40" s="1132"/>
      <c r="C40" s="1132"/>
      <c r="D40" s="1132"/>
      <c r="E40" s="1132"/>
      <c r="F40" s="632">
        <f>F38</f>
        <v>94.96000000000001</v>
      </c>
      <c r="G40" s="251"/>
      <c r="H40" s="251"/>
      <c r="I40" s="251"/>
      <c r="J40" s="251"/>
    </row>
    <row r="41" spans="1:10" ht="12.75">
      <c r="A41" s="1131"/>
      <c r="B41" s="1132"/>
      <c r="C41" s="1132"/>
      <c r="D41" s="1132"/>
      <c r="E41" s="1132"/>
      <c r="F41" s="1133"/>
      <c r="G41" s="251"/>
      <c r="H41" s="251"/>
      <c r="I41" s="251"/>
      <c r="J41" s="251"/>
    </row>
    <row r="42" spans="1:10" ht="12.75">
      <c r="A42" s="1131"/>
      <c r="B42" s="1132"/>
      <c r="C42" s="1132"/>
      <c r="D42" s="1132"/>
      <c r="E42" s="1132"/>
      <c r="F42" s="1133"/>
      <c r="G42" s="251"/>
      <c r="H42" s="251"/>
      <c r="I42" s="251"/>
      <c r="J42" s="251"/>
    </row>
    <row r="43" spans="1:10" ht="12.75">
      <c r="A43" s="1131" t="s">
        <v>45</v>
      </c>
      <c r="B43" s="1132"/>
      <c r="C43" s="1132"/>
      <c r="D43" s="1132"/>
      <c r="E43" s="1132"/>
      <c r="F43" s="632">
        <f>F40+F30+F22</f>
        <v>730.4119099999999</v>
      </c>
      <c r="G43" s="251"/>
      <c r="H43" s="251"/>
      <c r="I43" s="251"/>
      <c r="J43" s="251"/>
    </row>
    <row r="44" spans="1:10" ht="12.75">
      <c r="A44" s="1131"/>
      <c r="B44" s="1132"/>
      <c r="C44" s="1132"/>
      <c r="D44" s="1132"/>
      <c r="E44" s="1132"/>
      <c r="F44" s="1133"/>
      <c r="G44" s="251"/>
      <c r="H44" s="251"/>
      <c r="I44" s="251"/>
      <c r="J44" s="251"/>
    </row>
    <row r="45" spans="1:10" ht="12.75">
      <c r="A45" s="1131" t="s">
        <v>46</v>
      </c>
      <c r="B45" s="1132"/>
      <c r="C45" s="1132"/>
      <c r="D45" s="1132"/>
      <c r="E45" s="408">
        <f>'dados de entrada'!B10</f>
        <v>0.25</v>
      </c>
      <c r="F45" s="632">
        <f>F43*E45</f>
        <v>182.60297749999998</v>
      </c>
      <c r="G45" s="371" t="s">
        <v>229</v>
      </c>
      <c r="H45" s="251"/>
      <c r="I45" s="251"/>
      <c r="J45" s="251"/>
    </row>
    <row r="46" spans="1:10" ht="12.75">
      <c r="A46" s="1131"/>
      <c r="B46" s="1132"/>
      <c r="C46" s="1132"/>
      <c r="D46" s="1132"/>
      <c r="E46" s="1132"/>
      <c r="F46" s="1133"/>
      <c r="G46" s="251"/>
      <c r="H46" s="251"/>
      <c r="I46" s="251"/>
      <c r="J46" s="251"/>
    </row>
    <row r="47" spans="1:10" ht="12.75">
      <c r="A47" s="1131" t="s">
        <v>47</v>
      </c>
      <c r="B47" s="1132"/>
      <c r="C47" s="1132"/>
      <c r="D47" s="1132"/>
      <c r="E47" s="1132"/>
      <c r="F47" s="632">
        <f>F43+F45</f>
        <v>913.0148874999999</v>
      </c>
      <c r="G47" s="251"/>
      <c r="H47" s="251"/>
      <c r="I47" s="251"/>
      <c r="J47" s="251"/>
    </row>
    <row r="48" spans="1:6" ht="13.5" thickBot="1">
      <c r="A48" s="1138"/>
      <c r="B48" s="1139"/>
      <c r="C48" s="1139"/>
      <c r="D48" s="1139"/>
      <c r="E48" s="1139"/>
      <c r="F48" s="1140"/>
    </row>
  </sheetData>
  <sheetProtection/>
  <mergeCells count="25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A46" sqref="A1:F46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46" t="s">
        <v>21</v>
      </c>
      <c r="C1" s="646" t="s">
        <v>22</v>
      </c>
      <c r="D1" s="1141" t="str">
        <f>'[1]dados de entrada'!B9</f>
        <v>SINAPI - 01/01/2014 - COM DESONERAÇÃO - SICR0  01/11/2013</v>
      </c>
      <c r="E1" s="1141"/>
      <c r="F1" s="1142"/>
      <c r="G1" s="251"/>
      <c r="H1" s="356"/>
      <c r="I1" s="251"/>
      <c r="J1" s="251"/>
    </row>
    <row r="2" spans="1:10" ht="12.75">
      <c r="A2" s="647" t="str">
        <f>'dados de entrada'!B15</f>
        <v>PREFEITURA MUNICIPAL DE BOMBINHAS</v>
      </c>
      <c r="B2" s="648"/>
      <c r="C2" s="252"/>
      <c r="D2" s="252"/>
      <c r="E2" s="252" t="s">
        <v>23</v>
      </c>
      <c r="F2" s="649" t="s">
        <v>24</v>
      </c>
      <c r="G2" s="251"/>
      <c r="H2" s="251"/>
      <c r="I2" s="251"/>
      <c r="J2" s="251"/>
    </row>
    <row r="3" spans="1:10" ht="12.75">
      <c r="A3" s="647" t="str">
        <f>'dados de entrada'!C19</f>
        <v>RUA CABRITO - BAIRRO JOSÉ AMANDIO</v>
      </c>
      <c r="B3" s="648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9" ht="12.75">
      <c r="A4" s="647" t="str">
        <f>'dados de entrada'!B8</f>
        <v>PAVIMENTAÇÃO COM LAJOTAS SEXTAVADAS E DRENAGEM PLUVIAL </v>
      </c>
      <c r="B4" s="648"/>
      <c r="C4" s="252"/>
      <c r="D4" s="252"/>
      <c r="E4" s="252"/>
      <c r="F4" s="650"/>
      <c r="G4" s="252"/>
      <c r="H4" s="252"/>
      <c r="I4" s="252"/>
      <c r="J4" s="252"/>
      <c r="K4" s="662"/>
      <c r="L4" s="662"/>
      <c r="M4" s="662"/>
      <c r="N4" s="662"/>
      <c r="O4" s="662"/>
      <c r="P4" s="662"/>
      <c r="Q4" s="662"/>
      <c r="R4" s="662"/>
      <c r="S4" s="662"/>
    </row>
    <row r="5" spans="1:19" ht="12.75">
      <c r="A5" s="1128" t="s">
        <v>27</v>
      </c>
      <c r="B5" s="1129"/>
      <c r="C5" s="1129"/>
      <c r="D5" s="1129"/>
      <c r="E5" s="1129"/>
      <c r="F5" s="1130"/>
      <c r="G5" s="252"/>
      <c r="H5" s="252"/>
      <c r="I5" s="252"/>
      <c r="J5" s="252"/>
      <c r="K5" s="662"/>
      <c r="L5" s="662"/>
      <c r="M5" s="662"/>
      <c r="N5" s="662"/>
      <c r="O5" s="662"/>
      <c r="P5" s="662"/>
      <c r="Q5" s="662"/>
      <c r="R5" s="662"/>
      <c r="S5" s="662"/>
    </row>
    <row r="6" spans="1:19" ht="12.75">
      <c r="A6" s="1131"/>
      <c r="B6" s="1132"/>
      <c r="C6" s="1132"/>
      <c r="D6" s="1132"/>
      <c r="E6" s="1132"/>
      <c r="F6" s="1133"/>
      <c r="G6" s="252"/>
      <c r="H6" s="252"/>
      <c r="I6" s="252"/>
      <c r="J6" s="663"/>
      <c r="K6" s="662"/>
      <c r="L6" s="662"/>
      <c r="M6" s="662"/>
      <c r="N6" s="662"/>
      <c r="O6" s="662"/>
      <c r="P6" s="662"/>
      <c r="Q6" s="662"/>
      <c r="R6" s="662"/>
      <c r="S6" s="662"/>
    </row>
    <row r="7" spans="1:19" ht="12.75">
      <c r="A7" s="1131" t="s">
        <v>28</v>
      </c>
      <c r="B7" s="1132"/>
      <c r="C7" s="1132"/>
      <c r="D7" s="1132" t="s">
        <v>29</v>
      </c>
      <c r="E7" s="1132"/>
      <c r="F7" s="664" t="s">
        <v>13</v>
      </c>
      <c r="G7" s="252"/>
      <c r="H7" s="252"/>
      <c r="I7" s="252"/>
      <c r="J7" s="252"/>
      <c r="K7" s="662"/>
      <c r="L7" s="662"/>
      <c r="M7" s="662"/>
      <c r="N7" s="662"/>
      <c r="O7" s="662"/>
      <c r="P7" s="662"/>
      <c r="Q7" s="662"/>
      <c r="R7" s="662"/>
      <c r="S7" s="662"/>
    </row>
    <row r="8" spans="1:19" ht="12.75">
      <c r="A8" s="1134" t="s">
        <v>581</v>
      </c>
      <c r="B8" s="1135"/>
      <c r="C8" s="1135"/>
      <c r="D8" s="1132" t="s">
        <v>3</v>
      </c>
      <c r="E8" s="1132"/>
      <c r="F8" s="652">
        <f>'dados de entrada'!B3</f>
        <v>41671</v>
      </c>
      <c r="G8" s="252"/>
      <c r="H8" s="252"/>
      <c r="I8" s="252"/>
      <c r="J8" s="252"/>
      <c r="K8" s="662"/>
      <c r="L8" s="662"/>
      <c r="M8" s="662"/>
      <c r="N8" s="662"/>
      <c r="O8" s="662"/>
      <c r="P8" s="662"/>
      <c r="Q8" s="662"/>
      <c r="R8" s="662"/>
      <c r="S8" s="662"/>
    </row>
    <row r="9" spans="1:19" ht="13.5" thickBot="1">
      <c r="A9" s="1143"/>
      <c r="B9" s="1144"/>
      <c r="C9" s="1144"/>
      <c r="D9" s="1144"/>
      <c r="E9" s="1144"/>
      <c r="F9" s="1145"/>
      <c r="G9" s="252"/>
      <c r="H9" s="1149"/>
      <c r="I9" s="1150"/>
      <c r="J9" s="665"/>
      <c r="K9" s="662"/>
      <c r="L9" s="662"/>
      <c r="M9" s="662"/>
      <c r="N9" s="662"/>
      <c r="O9" s="662"/>
      <c r="P9" s="662"/>
      <c r="Q9" s="662"/>
      <c r="R9" s="662"/>
      <c r="S9" s="662"/>
    </row>
    <row r="10" spans="1:19" ht="12.75">
      <c r="A10" s="616" t="s">
        <v>0</v>
      </c>
      <c r="B10" s="617" t="s">
        <v>30</v>
      </c>
      <c r="C10" s="617" t="s">
        <v>31</v>
      </c>
      <c r="D10" s="617" t="s">
        <v>32</v>
      </c>
      <c r="E10" s="617" t="s">
        <v>33</v>
      </c>
      <c r="F10" s="618" t="s">
        <v>34</v>
      </c>
      <c r="G10" s="252"/>
      <c r="H10" s="1149"/>
      <c r="I10" s="1150"/>
      <c r="J10" s="665"/>
      <c r="K10" s="662"/>
      <c r="L10" s="662"/>
      <c r="M10" s="662"/>
      <c r="N10" s="662"/>
      <c r="O10" s="662"/>
      <c r="P10" s="662"/>
      <c r="Q10" s="662"/>
      <c r="R10" s="662"/>
      <c r="S10" s="662"/>
    </row>
    <row r="11" spans="1:19" ht="12.75">
      <c r="A11" s="619">
        <v>367</v>
      </c>
      <c r="B11" s="620" t="s">
        <v>592</v>
      </c>
      <c r="C11" s="621">
        <v>0.0604</v>
      </c>
      <c r="D11" s="622" t="s">
        <v>9</v>
      </c>
      <c r="E11" s="623">
        <v>69.75</v>
      </c>
      <c r="F11" s="624">
        <f>C11*E11</f>
        <v>4.2129</v>
      </c>
      <c r="G11" s="252"/>
      <c r="H11" s="252"/>
      <c r="I11" s="252"/>
      <c r="J11" s="252"/>
      <c r="K11" s="662"/>
      <c r="L11" s="662"/>
      <c r="M11" s="662"/>
      <c r="N11" s="662"/>
      <c r="O11" s="662"/>
      <c r="P11" s="662"/>
      <c r="Q11" s="662"/>
      <c r="R11" s="662"/>
      <c r="S11" s="662"/>
    </row>
    <row r="12" spans="1:19" ht="12.75" customHeight="1">
      <c r="A12" s="619" t="s">
        <v>593</v>
      </c>
      <c r="B12" s="620" t="s">
        <v>458</v>
      </c>
      <c r="C12" s="628">
        <v>1.05</v>
      </c>
      <c r="D12" s="622" t="s">
        <v>3</v>
      </c>
      <c r="E12" s="623">
        <v>26</v>
      </c>
      <c r="F12" s="624">
        <f>C12*E12</f>
        <v>27.3</v>
      </c>
      <c r="G12" s="252"/>
      <c r="H12" s="252"/>
      <c r="I12" s="252"/>
      <c r="J12" s="252"/>
      <c r="K12" s="662"/>
      <c r="L12" s="662"/>
      <c r="M12" s="662"/>
      <c r="N12" s="662"/>
      <c r="O12" s="662"/>
      <c r="P12" s="662"/>
      <c r="Q12" s="662"/>
      <c r="R12" s="662"/>
      <c r="S12" s="662"/>
    </row>
    <row r="13" spans="1:19" ht="12.75" customHeight="1">
      <c r="A13" s="629"/>
      <c r="B13" s="620"/>
      <c r="C13" s="630"/>
      <c r="D13" s="322"/>
      <c r="E13" s="631"/>
      <c r="F13" s="632"/>
      <c r="G13" s="252"/>
      <c r="H13" s="252"/>
      <c r="I13" s="252"/>
      <c r="J13" s="252"/>
      <c r="K13" s="662"/>
      <c r="L13" s="662"/>
      <c r="M13" s="662"/>
      <c r="N13" s="662"/>
      <c r="O13" s="662"/>
      <c r="P13" s="662"/>
      <c r="Q13" s="662"/>
      <c r="R13" s="662"/>
      <c r="S13" s="662"/>
    </row>
    <row r="14" spans="1:19" ht="12.75" customHeight="1">
      <c r="A14" s="619"/>
      <c r="B14" s="626"/>
      <c r="C14" s="628"/>
      <c r="D14" s="622"/>
      <c r="E14" s="627"/>
      <c r="F14" s="624"/>
      <c r="G14" s="252"/>
      <c r="H14" s="1149"/>
      <c r="I14" s="1150"/>
      <c r="J14" s="665"/>
      <c r="K14" s="662"/>
      <c r="L14" s="662"/>
      <c r="M14" s="662"/>
      <c r="N14" s="662"/>
      <c r="O14" s="662"/>
      <c r="P14" s="662"/>
      <c r="Q14" s="662"/>
      <c r="R14" s="662"/>
      <c r="S14" s="662"/>
    </row>
    <row r="15" spans="1:19" ht="12.75">
      <c r="A15" s="619"/>
      <c r="B15" s="633"/>
      <c r="C15" s="621"/>
      <c r="D15" s="622"/>
      <c r="E15" s="627"/>
      <c r="F15" s="624"/>
      <c r="G15" s="252"/>
      <c r="H15" s="252"/>
      <c r="I15" s="252"/>
      <c r="J15" s="252"/>
      <c r="K15" s="662"/>
      <c r="L15" s="662"/>
      <c r="M15" s="662"/>
      <c r="N15" s="662"/>
      <c r="O15" s="662"/>
      <c r="P15" s="662"/>
      <c r="Q15" s="662"/>
      <c r="R15" s="662"/>
      <c r="S15" s="662"/>
    </row>
    <row r="16" spans="1:19" ht="12.75">
      <c r="A16" s="619"/>
      <c r="B16" s="626"/>
      <c r="C16" s="628"/>
      <c r="D16" s="622"/>
      <c r="E16" s="627"/>
      <c r="F16" s="624"/>
      <c r="G16" s="252"/>
      <c r="H16" s="252"/>
      <c r="I16" s="252"/>
      <c r="J16" s="252"/>
      <c r="K16" s="662"/>
      <c r="L16" s="662"/>
      <c r="M16" s="662"/>
      <c r="N16" s="662"/>
      <c r="O16" s="662"/>
      <c r="P16" s="662"/>
      <c r="Q16" s="662"/>
      <c r="R16" s="662"/>
      <c r="S16" s="662"/>
    </row>
    <row r="17" spans="1:19" ht="12.75">
      <c r="A17" s="634"/>
      <c r="B17" s="620"/>
      <c r="C17" s="635"/>
      <c r="D17" s="615"/>
      <c r="E17" s="623"/>
      <c r="F17" s="624"/>
      <c r="G17" s="252"/>
      <c r="H17" s="252"/>
      <c r="I17" s="252"/>
      <c r="J17" s="252"/>
      <c r="K17" s="662"/>
      <c r="L17" s="662"/>
      <c r="M17" s="662"/>
      <c r="N17" s="662"/>
      <c r="O17" s="662"/>
      <c r="P17" s="662"/>
      <c r="Q17" s="662"/>
      <c r="R17" s="662"/>
      <c r="S17" s="662"/>
    </row>
    <row r="18" spans="1:19" ht="12.75">
      <c r="A18" s="629"/>
      <c r="B18" s="620"/>
      <c r="C18" s="635"/>
      <c r="D18" s="615"/>
      <c r="E18" s="623"/>
      <c r="F18" s="632"/>
      <c r="G18" s="252"/>
      <c r="H18" s="252"/>
      <c r="I18" s="252"/>
      <c r="J18" s="252"/>
      <c r="K18" s="662"/>
      <c r="L18" s="662"/>
      <c r="M18" s="662"/>
      <c r="N18" s="662"/>
      <c r="O18" s="662"/>
      <c r="P18" s="662"/>
      <c r="Q18" s="662"/>
      <c r="R18" s="662"/>
      <c r="S18" s="662"/>
    </row>
    <row r="19" spans="1:19" ht="12.75">
      <c r="A19" s="634"/>
      <c r="B19" s="322"/>
      <c r="C19" s="630"/>
      <c r="D19" s="322"/>
      <c r="E19" s="361"/>
      <c r="F19" s="632"/>
      <c r="G19" s="252"/>
      <c r="H19" s="252"/>
      <c r="I19" s="252"/>
      <c r="J19" s="252"/>
      <c r="K19" s="662"/>
      <c r="L19" s="662"/>
      <c r="M19" s="662"/>
      <c r="N19" s="662"/>
      <c r="O19" s="662"/>
      <c r="P19" s="662"/>
      <c r="Q19" s="662"/>
      <c r="R19" s="662"/>
      <c r="S19" s="662"/>
    </row>
    <row r="20" spans="1:19" ht="12.75">
      <c r="A20" s="1131" t="s">
        <v>37</v>
      </c>
      <c r="B20" s="1132"/>
      <c r="C20" s="1132"/>
      <c r="D20" s="1132"/>
      <c r="E20" s="1132"/>
      <c r="F20" s="632">
        <f>SUM(F11:F19)</f>
        <v>31.512900000000002</v>
      </c>
      <c r="G20" s="252"/>
      <c r="H20" s="252"/>
      <c r="I20" s="252"/>
      <c r="J20" s="252"/>
      <c r="K20" s="662"/>
      <c r="L20" s="662"/>
      <c r="M20" s="662"/>
      <c r="N20" s="662"/>
      <c r="O20" s="662"/>
      <c r="P20" s="662"/>
      <c r="Q20" s="662"/>
      <c r="R20" s="662"/>
      <c r="S20" s="662"/>
    </row>
    <row r="21" spans="1:19" ht="13.5" thickBot="1">
      <c r="A21" s="1138"/>
      <c r="B21" s="1139"/>
      <c r="C21" s="1139"/>
      <c r="D21" s="1139"/>
      <c r="E21" s="1139"/>
      <c r="F21" s="1140"/>
      <c r="G21" s="252"/>
      <c r="H21" s="252"/>
      <c r="I21" s="252"/>
      <c r="J21" s="252"/>
      <c r="K21" s="662"/>
      <c r="L21" s="662"/>
      <c r="M21" s="662"/>
      <c r="N21" s="662"/>
      <c r="O21" s="662"/>
      <c r="P21" s="662"/>
      <c r="Q21" s="662"/>
      <c r="R21" s="662"/>
      <c r="S21" s="662"/>
    </row>
    <row r="22" spans="1:10" ht="12.75">
      <c r="A22" s="666" t="s">
        <v>0</v>
      </c>
      <c r="B22" s="312" t="s">
        <v>18</v>
      </c>
      <c r="C22" s="312" t="s">
        <v>31</v>
      </c>
      <c r="D22" s="312" t="s">
        <v>32</v>
      </c>
      <c r="E22" s="312" t="s">
        <v>33</v>
      </c>
      <c r="F22" s="667" t="s">
        <v>34</v>
      </c>
      <c r="G22" s="251"/>
      <c r="H22" s="251"/>
      <c r="I22" s="251"/>
      <c r="J22" s="251"/>
    </row>
    <row r="23" spans="1:10" ht="12.75">
      <c r="A23" s="654"/>
      <c r="B23" s="362"/>
      <c r="C23" s="357"/>
      <c r="D23" s="363"/>
      <c r="E23" s="357"/>
      <c r="F23" s="655"/>
      <c r="G23" s="251"/>
      <c r="H23" s="251"/>
      <c r="I23" s="251"/>
      <c r="J23" s="251"/>
    </row>
    <row r="24" spans="1:10" ht="12.75">
      <c r="A24" s="656"/>
      <c r="B24" s="364"/>
      <c r="C24" s="365"/>
      <c r="D24" s="358"/>
      <c r="E24" s="365"/>
      <c r="F24" s="657"/>
      <c r="G24" s="251"/>
      <c r="H24" s="251"/>
      <c r="I24" s="251"/>
      <c r="J24" s="251"/>
    </row>
    <row r="25" spans="1:10" ht="12.75">
      <c r="A25" s="342"/>
      <c r="B25" s="317"/>
      <c r="C25" s="366"/>
      <c r="D25" s="317"/>
      <c r="E25" s="366"/>
      <c r="F25" s="658"/>
      <c r="G25" s="251"/>
      <c r="H25" s="251"/>
      <c r="I25" s="251"/>
      <c r="J25" s="251"/>
    </row>
    <row r="26" spans="1:10" ht="12.75">
      <c r="A26" s="342"/>
      <c r="B26" s="317"/>
      <c r="C26" s="366"/>
      <c r="D26" s="317"/>
      <c r="E26" s="366"/>
      <c r="F26" s="658"/>
      <c r="G26" s="251"/>
      <c r="H26" s="251"/>
      <c r="I26" s="251"/>
      <c r="J26" s="251"/>
    </row>
    <row r="27" spans="1:10" ht="12.75">
      <c r="A27" s="659"/>
      <c r="B27" s="359"/>
      <c r="C27" s="360"/>
      <c r="D27" s="359"/>
      <c r="E27" s="360"/>
      <c r="F27" s="660"/>
      <c r="G27" s="251"/>
      <c r="H27" s="251"/>
      <c r="I27" s="251"/>
      <c r="J27" s="251"/>
    </row>
    <row r="28" spans="1:10" ht="12.75">
      <c r="A28" s="1131" t="s">
        <v>39</v>
      </c>
      <c r="B28" s="1132"/>
      <c r="C28" s="1132"/>
      <c r="D28" s="1132"/>
      <c r="E28" s="1132"/>
      <c r="F28" s="632">
        <f>SUM(F23:F27)</f>
        <v>0</v>
      </c>
      <c r="G28" s="251"/>
      <c r="H28" s="251"/>
      <c r="I28" s="251"/>
      <c r="J28" s="251"/>
    </row>
    <row r="29" spans="1:10" ht="13.5" thickBot="1">
      <c r="A29" s="1143"/>
      <c r="B29" s="1144"/>
      <c r="C29" s="1144"/>
      <c r="D29" s="1144"/>
      <c r="E29" s="1144"/>
      <c r="F29" s="1145"/>
      <c r="G29" s="251"/>
      <c r="H29" s="251"/>
      <c r="I29" s="251"/>
      <c r="J29" s="251"/>
    </row>
    <row r="30" spans="1:10" ht="12.75">
      <c r="A30" s="616" t="s">
        <v>0</v>
      </c>
      <c r="B30" s="617" t="s">
        <v>40</v>
      </c>
      <c r="C30" s="617" t="s">
        <v>31</v>
      </c>
      <c r="D30" s="617" t="s">
        <v>32</v>
      </c>
      <c r="E30" s="617" t="s">
        <v>33</v>
      </c>
      <c r="F30" s="618" t="s">
        <v>34</v>
      </c>
      <c r="G30" s="251"/>
      <c r="H30" s="251"/>
      <c r="I30" s="251"/>
      <c r="J30" s="251"/>
    </row>
    <row r="31" spans="1:10" ht="12.75">
      <c r="A31" s="625">
        <v>6111</v>
      </c>
      <c r="B31" s="626" t="s">
        <v>594</v>
      </c>
      <c r="C31" s="621">
        <v>0.35</v>
      </c>
      <c r="D31" s="622" t="s">
        <v>212</v>
      </c>
      <c r="E31" s="623">
        <v>8.83</v>
      </c>
      <c r="F31" s="632">
        <f>E31*C31</f>
        <v>3.0905</v>
      </c>
      <c r="G31" s="251"/>
      <c r="H31" s="251"/>
      <c r="I31" s="251"/>
      <c r="J31" s="251"/>
    </row>
    <row r="32" spans="1:10" ht="12.75">
      <c r="A32" s="619">
        <v>4750</v>
      </c>
      <c r="B32" s="626" t="s">
        <v>42</v>
      </c>
      <c r="C32" s="621">
        <v>0.16</v>
      </c>
      <c r="D32" s="622" t="s">
        <v>212</v>
      </c>
      <c r="E32" s="623">
        <v>11.79</v>
      </c>
      <c r="F32" s="632">
        <f>E32*C32</f>
        <v>1.8863999999999999</v>
      </c>
      <c r="G32" s="251"/>
      <c r="H32" s="251"/>
      <c r="I32" s="251"/>
      <c r="J32" s="251"/>
    </row>
    <row r="33" spans="1:10" ht="12.75">
      <c r="A33" s="634"/>
      <c r="B33" s="644"/>
      <c r="C33" s="361"/>
      <c r="D33" s="322"/>
      <c r="E33" s="361"/>
      <c r="F33" s="624">
        <f>C33*E33</f>
        <v>0</v>
      </c>
      <c r="G33" s="251"/>
      <c r="H33" s="251"/>
      <c r="I33" s="251"/>
      <c r="J33" s="251"/>
    </row>
    <row r="34" spans="1:10" ht="12.75">
      <c r="A34" s="634"/>
      <c r="B34" s="644"/>
      <c r="C34" s="361"/>
      <c r="D34" s="322"/>
      <c r="E34" s="361"/>
      <c r="F34" s="624">
        <f>C34*E34</f>
        <v>0</v>
      </c>
      <c r="G34" s="251"/>
      <c r="H34" s="251"/>
      <c r="I34" s="251"/>
      <c r="J34" s="251"/>
    </row>
    <row r="35" spans="1:10" ht="12.75">
      <c r="A35" s="619"/>
      <c r="B35" s="626"/>
      <c r="C35" s="643"/>
      <c r="D35" s="622"/>
      <c r="E35" s="643"/>
      <c r="F35" s="624">
        <f>C35*E35</f>
        <v>0</v>
      </c>
      <c r="G35" s="251"/>
      <c r="H35" s="251"/>
      <c r="I35" s="251"/>
      <c r="J35" s="251"/>
    </row>
    <row r="36" spans="1:10" ht="13.5" thickBot="1">
      <c r="A36" s="1138" t="s">
        <v>43</v>
      </c>
      <c r="B36" s="1139"/>
      <c r="C36" s="1139"/>
      <c r="D36" s="1139"/>
      <c r="E36" s="1139"/>
      <c r="F36" s="668">
        <f>SUM(F31:F35)</f>
        <v>4.9769</v>
      </c>
      <c r="G36" s="251"/>
      <c r="H36" s="251"/>
      <c r="I36" s="251"/>
      <c r="J36" s="251"/>
    </row>
    <row r="37" spans="1:10" ht="12.75">
      <c r="A37" s="1146"/>
      <c r="B37" s="1147"/>
      <c r="C37" s="1147"/>
      <c r="D37" s="1147"/>
      <c r="E37" s="1147"/>
      <c r="F37" s="1148"/>
      <c r="G37" s="251"/>
      <c r="H37" s="251"/>
      <c r="I37" s="251"/>
      <c r="J37" s="251"/>
    </row>
    <row r="38" spans="1:10" ht="12.75">
      <c r="A38" s="1131" t="s">
        <v>44</v>
      </c>
      <c r="B38" s="1132"/>
      <c r="C38" s="1132"/>
      <c r="D38" s="1132"/>
      <c r="E38" s="1132"/>
      <c r="F38" s="632">
        <f>F36</f>
        <v>4.9769</v>
      </c>
      <c r="G38" s="251"/>
      <c r="H38" s="251"/>
      <c r="I38" s="251"/>
      <c r="J38" s="251"/>
    </row>
    <row r="39" spans="1:10" ht="12.75">
      <c r="A39" s="1131"/>
      <c r="B39" s="1132"/>
      <c r="C39" s="1132"/>
      <c r="D39" s="1132"/>
      <c r="E39" s="1132"/>
      <c r="F39" s="1133"/>
      <c r="G39" s="251"/>
      <c r="H39" s="251"/>
      <c r="I39" s="251"/>
      <c r="J39" s="251"/>
    </row>
    <row r="40" spans="1:10" ht="12.75">
      <c r="A40" s="1131"/>
      <c r="B40" s="1132"/>
      <c r="C40" s="1132"/>
      <c r="D40" s="1132"/>
      <c r="E40" s="1132"/>
      <c r="F40" s="1133"/>
      <c r="G40" s="251"/>
      <c r="H40" s="251"/>
      <c r="I40" s="251"/>
      <c r="J40" s="251"/>
    </row>
    <row r="41" spans="1:10" ht="12.75">
      <c r="A41" s="1131" t="s">
        <v>45</v>
      </c>
      <c r="B41" s="1132"/>
      <c r="C41" s="1132"/>
      <c r="D41" s="1132"/>
      <c r="E41" s="1132"/>
      <c r="F41" s="632">
        <f>F38+F28+F20</f>
        <v>36.4898</v>
      </c>
      <c r="G41" s="251"/>
      <c r="H41" s="251"/>
      <c r="I41" s="251"/>
      <c r="J41" s="251"/>
    </row>
    <row r="42" spans="1:10" ht="12.75">
      <c r="A42" s="1131"/>
      <c r="B42" s="1132"/>
      <c r="C42" s="1132"/>
      <c r="D42" s="1132"/>
      <c r="E42" s="1132"/>
      <c r="F42" s="1133"/>
      <c r="G42" s="251"/>
      <c r="H42" s="251"/>
      <c r="I42" s="251"/>
      <c r="J42" s="251"/>
    </row>
    <row r="43" spans="1:10" ht="12.75">
      <c r="A43" s="1131" t="s">
        <v>46</v>
      </c>
      <c r="B43" s="1132"/>
      <c r="C43" s="1132"/>
      <c r="D43" s="1132"/>
      <c r="E43" s="408">
        <f>'[1]dados de entrada'!B10</f>
        <v>0.25</v>
      </c>
      <c r="F43" s="632">
        <f>F41*E43</f>
        <v>9.12245</v>
      </c>
      <c r="G43" s="371"/>
      <c r="H43" s="251"/>
      <c r="I43" s="251"/>
      <c r="J43" s="251"/>
    </row>
    <row r="44" spans="1:10" ht="12.75">
      <c r="A44" s="1131"/>
      <c r="B44" s="1132"/>
      <c r="C44" s="1132"/>
      <c r="D44" s="1132"/>
      <c r="E44" s="1132"/>
      <c r="F44" s="1133"/>
      <c r="G44" s="251"/>
      <c r="H44" s="251"/>
      <c r="I44" s="251"/>
      <c r="J44" s="251"/>
    </row>
    <row r="45" spans="1:10" ht="12.75">
      <c r="A45" s="1131" t="s">
        <v>47</v>
      </c>
      <c r="B45" s="1132"/>
      <c r="C45" s="1132"/>
      <c r="D45" s="1132"/>
      <c r="E45" s="1132"/>
      <c r="F45" s="632">
        <f>F41+F43</f>
        <v>45.61225</v>
      </c>
      <c r="G45" s="251"/>
      <c r="H45" s="251"/>
      <c r="I45" s="251"/>
      <c r="J45" s="251"/>
    </row>
    <row r="46" spans="1:6" ht="13.5" thickBot="1">
      <c r="A46" s="1138"/>
      <c r="B46" s="1139"/>
      <c r="C46" s="1139"/>
      <c r="D46" s="1139"/>
      <c r="E46" s="1139"/>
      <c r="F46" s="1140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4:I14"/>
    <mergeCell ref="A20:E20"/>
    <mergeCell ref="A21:F21"/>
    <mergeCell ref="A28:E28"/>
    <mergeCell ref="A29:F29"/>
    <mergeCell ref="A36:E36"/>
    <mergeCell ref="A37:F37"/>
    <mergeCell ref="A38:E38"/>
    <mergeCell ref="A39:F40"/>
    <mergeCell ref="A41:E41"/>
    <mergeCell ref="A42:F42"/>
    <mergeCell ref="A43:D43"/>
    <mergeCell ref="A44:F44"/>
    <mergeCell ref="A45:E45"/>
    <mergeCell ref="A46:F4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8">
      <selection activeCell="A48" sqref="A1:F48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46" t="s">
        <v>21</v>
      </c>
      <c r="C1" s="646" t="s">
        <v>22</v>
      </c>
      <c r="D1" s="1141" t="str">
        <f>'dados de entrada'!B9</f>
        <v>SINAPI - 01/01/2014 - COM DESONERAÇÃO - SICRO 01/11/2013</v>
      </c>
      <c r="E1" s="1141"/>
      <c r="F1" s="1142"/>
      <c r="G1" s="251"/>
      <c r="H1" s="356" t="s">
        <v>230</v>
      </c>
      <c r="I1" s="251"/>
      <c r="J1" s="251"/>
    </row>
    <row r="2" spans="1:10" ht="12.75">
      <c r="A2" s="647" t="str">
        <f>'dados de entrada'!B15</f>
        <v>PREFEITURA MUNICIPAL DE BOMBINHAS</v>
      </c>
      <c r="B2" s="648"/>
      <c r="C2" s="252"/>
      <c r="D2" s="252"/>
      <c r="E2" s="252" t="s">
        <v>23</v>
      </c>
      <c r="F2" s="649" t="s">
        <v>24</v>
      </c>
      <c r="G2" s="251"/>
      <c r="H2" s="251"/>
      <c r="I2" s="251"/>
      <c r="J2" s="251"/>
    </row>
    <row r="3" spans="1:10" ht="12.75">
      <c r="A3" s="647" t="str">
        <f>'dados de entrada'!C19</f>
        <v>RUA CABRITO - BAIRRO JOSÉ AMANDIO</v>
      </c>
      <c r="B3" s="648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47" t="str">
        <f>'dados de entrada'!B8</f>
        <v>PAVIMENTAÇÃO COM LAJOTAS SEXTAVADAS E DRENAGEM PLUVIAL </v>
      </c>
      <c r="B4" s="648"/>
      <c r="C4" s="252"/>
      <c r="D4" s="252"/>
      <c r="E4" s="252"/>
      <c r="F4" s="650"/>
      <c r="G4" s="251"/>
      <c r="H4" s="251"/>
      <c r="I4" s="251"/>
      <c r="J4" s="251"/>
    </row>
    <row r="5" spans="1:10" ht="13.5" thickBot="1">
      <c r="A5" s="1128" t="s">
        <v>27</v>
      </c>
      <c r="B5" s="1129"/>
      <c r="C5" s="1129"/>
      <c r="D5" s="1129"/>
      <c r="E5" s="1129"/>
      <c r="F5" s="1130"/>
      <c r="G5" s="251"/>
      <c r="H5" s="251"/>
      <c r="I5" s="251"/>
      <c r="J5" s="251"/>
    </row>
    <row r="6" spans="1:10" ht="13.5" thickBot="1">
      <c r="A6" s="1131"/>
      <c r="B6" s="1132"/>
      <c r="C6" s="1132"/>
      <c r="D6" s="1132"/>
      <c r="E6" s="1132"/>
      <c r="F6" s="1133"/>
      <c r="G6" s="251"/>
      <c r="H6" s="251"/>
      <c r="I6" s="251"/>
      <c r="J6" s="407">
        <f>'[1]Escavação'!W30</f>
        <v>1</v>
      </c>
    </row>
    <row r="7" spans="1:10" ht="12.75">
      <c r="A7" s="1131" t="s">
        <v>28</v>
      </c>
      <c r="B7" s="1132"/>
      <c r="C7" s="1132"/>
      <c r="D7" s="1132" t="s">
        <v>29</v>
      </c>
      <c r="E7" s="1132"/>
      <c r="F7" s="651" t="s">
        <v>13</v>
      </c>
      <c r="G7" s="251"/>
      <c r="H7" s="251"/>
      <c r="I7" s="251"/>
      <c r="J7" s="251"/>
    </row>
    <row r="8" spans="1:10" ht="13.5" thickBot="1">
      <c r="A8" s="1134" t="s">
        <v>582</v>
      </c>
      <c r="B8" s="1135"/>
      <c r="C8" s="1135"/>
      <c r="D8" s="1132" t="s">
        <v>3</v>
      </c>
      <c r="E8" s="1132"/>
      <c r="F8" s="652">
        <f>'dados de entrada'!B3</f>
        <v>41671</v>
      </c>
      <c r="G8" s="251"/>
      <c r="H8" s="251"/>
      <c r="I8" s="251"/>
      <c r="J8" s="251"/>
    </row>
    <row r="9" spans="1:11" ht="13.5" thickBot="1">
      <c r="A9" s="1143"/>
      <c r="B9" s="1144"/>
      <c r="C9" s="1144"/>
      <c r="D9" s="1144"/>
      <c r="E9" s="1144"/>
      <c r="F9" s="1145"/>
      <c r="G9" s="251"/>
      <c r="H9" s="1136" t="s">
        <v>462</v>
      </c>
      <c r="I9" s="1137"/>
      <c r="J9" s="249">
        <v>0.9</v>
      </c>
      <c r="K9" s="248" t="s">
        <v>426</v>
      </c>
    </row>
    <row r="10" spans="1:11" ht="13.5" thickBot="1">
      <c r="A10" s="616" t="s">
        <v>0</v>
      </c>
      <c r="B10" s="617" t="s">
        <v>30</v>
      </c>
      <c r="C10" s="617" t="s">
        <v>31</v>
      </c>
      <c r="D10" s="617" t="s">
        <v>32</v>
      </c>
      <c r="E10" s="617" t="s">
        <v>33</v>
      </c>
      <c r="F10" s="618" t="s">
        <v>34</v>
      </c>
      <c r="G10" s="251"/>
      <c r="H10" s="1136" t="s">
        <v>221</v>
      </c>
      <c r="I10" s="1137"/>
      <c r="J10" s="249">
        <f>((J9-0.2)*4*O13)-P14</f>
        <v>365.2</v>
      </c>
      <c r="K10" s="248" t="s">
        <v>427</v>
      </c>
    </row>
    <row r="11" spans="1:10" ht="12.75">
      <c r="A11" s="619">
        <v>367</v>
      </c>
      <c r="B11" s="620" t="s">
        <v>592</v>
      </c>
      <c r="C11" s="621">
        <v>0.0604</v>
      </c>
      <c r="D11" s="622" t="s">
        <v>9</v>
      </c>
      <c r="E11" s="623">
        <v>69.75</v>
      </c>
      <c r="F11" s="624">
        <f>C11*E11</f>
        <v>4.2129</v>
      </c>
      <c r="G11" s="251"/>
      <c r="H11" s="251"/>
      <c r="I11" s="251"/>
      <c r="J11" s="251"/>
    </row>
    <row r="12" spans="1:15" ht="12.75" customHeight="1">
      <c r="A12" s="619" t="s">
        <v>593</v>
      </c>
      <c r="B12" s="620" t="s">
        <v>563</v>
      </c>
      <c r="C12" s="628">
        <v>1.05</v>
      </c>
      <c r="D12" s="622" t="s">
        <v>3</v>
      </c>
      <c r="E12" s="623">
        <v>46.25</v>
      </c>
      <c r="F12" s="624">
        <f>C12*E12</f>
        <v>48.5625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12.75">
      <c r="A13" s="619"/>
      <c r="B13" s="626"/>
      <c r="C13" s="621"/>
      <c r="D13" s="622"/>
      <c r="E13" s="627"/>
      <c r="F13" s="624"/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19"/>
      <c r="B14" s="626"/>
      <c r="C14" s="628"/>
      <c r="D14" s="622"/>
      <c r="E14" s="627"/>
      <c r="F14" s="624"/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29"/>
      <c r="B15" s="620"/>
      <c r="C15" s="630"/>
      <c r="D15" s="322"/>
      <c r="E15" s="631"/>
      <c r="F15" s="632"/>
      <c r="G15" s="251"/>
      <c r="H15" s="251"/>
      <c r="I15" s="251"/>
      <c r="J15" s="251"/>
    </row>
    <row r="16" spans="1:11" ht="12.75" customHeight="1" thickBot="1">
      <c r="A16" s="619"/>
      <c r="B16" s="626"/>
      <c r="C16" s="628"/>
      <c r="D16" s="622"/>
      <c r="E16" s="627"/>
      <c r="F16" s="624"/>
      <c r="G16" s="251"/>
      <c r="H16" s="1136" t="s">
        <v>146</v>
      </c>
      <c r="I16" s="1137"/>
      <c r="J16" s="249">
        <f>C15*0.25</f>
        <v>0</v>
      </c>
      <c r="K16" s="248" t="s">
        <v>222</v>
      </c>
    </row>
    <row r="17" spans="1:10" ht="12.75">
      <c r="A17" s="619"/>
      <c r="B17" s="633"/>
      <c r="C17" s="621"/>
      <c r="D17" s="622"/>
      <c r="E17" s="627"/>
      <c r="F17" s="624"/>
      <c r="G17" s="251"/>
      <c r="H17" s="251"/>
      <c r="I17" s="251"/>
      <c r="J17" s="251"/>
    </row>
    <row r="18" spans="1:10" ht="12.75">
      <c r="A18" s="619"/>
      <c r="B18" s="626"/>
      <c r="C18" s="628"/>
      <c r="D18" s="622"/>
      <c r="E18" s="627"/>
      <c r="F18" s="624"/>
      <c r="G18" s="251"/>
      <c r="H18" s="251"/>
      <c r="I18" s="251"/>
      <c r="J18" s="251"/>
    </row>
    <row r="19" spans="1:10" ht="12.75">
      <c r="A19" s="634"/>
      <c r="B19" s="620"/>
      <c r="C19" s="635"/>
      <c r="D19" s="615"/>
      <c r="E19" s="623"/>
      <c r="F19" s="624"/>
      <c r="G19" s="251"/>
      <c r="H19" s="251"/>
      <c r="I19" s="251"/>
      <c r="J19" s="251"/>
    </row>
    <row r="20" spans="1:10" ht="12.75">
      <c r="A20" s="629"/>
      <c r="B20" s="620"/>
      <c r="C20" s="635"/>
      <c r="D20" s="615"/>
      <c r="E20" s="623"/>
      <c r="F20" s="632"/>
      <c r="G20" s="251"/>
      <c r="H20" s="251"/>
      <c r="I20" s="251"/>
      <c r="J20" s="251"/>
    </row>
    <row r="21" spans="1:10" ht="12.75">
      <c r="A21" s="634"/>
      <c r="B21" s="322"/>
      <c r="C21" s="630"/>
      <c r="D21" s="322"/>
      <c r="E21" s="361"/>
      <c r="F21" s="632"/>
      <c r="G21" s="251"/>
      <c r="H21" s="251"/>
      <c r="I21" s="251"/>
      <c r="J21" s="251"/>
    </row>
    <row r="22" spans="1:10" ht="12.75">
      <c r="A22" s="1131" t="s">
        <v>37</v>
      </c>
      <c r="B22" s="1132"/>
      <c r="C22" s="1132"/>
      <c r="D22" s="1132"/>
      <c r="E22" s="1132"/>
      <c r="F22" s="632">
        <f>SUM(F11:F21)</f>
        <v>52.7754</v>
      </c>
      <c r="G22" s="251"/>
      <c r="H22" s="251"/>
      <c r="I22" s="251"/>
      <c r="J22" s="251"/>
    </row>
    <row r="23" spans="1:10" ht="13.5" thickBot="1">
      <c r="A23" s="1138"/>
      <c r="B23" s="1139"/>
      <c r="C23" s="1139"/>
      <c r="D23" s="1139"/>
      <c r="E23" s="1139"/>
      <c r="F23" s="1140"/>
      <c r="G23" s="251"/>
      <c r="H23" s="251"/>
      <c r="I23" s="251"/>
      <c r="J23" s="251"/>
    </row>
    <row r="24" spans="1:10" ht="12.75">
      <c r="A24" s="666" t="s">
        <v>0</v>
      </c>
      <c r="B24" s="312" t="s">
        <v>18</v>
      </c>
      <c r="C24" s="312" t="s">
        <v>31</v>
      </c>
      <c r="D24" s="312" t="s">
        <v>32</v>
      </c>
      <c r="E24" s="312" t="s">
        <v>33</v>
      </c>
      <c r="F24" s="667" t="s">
        <v>34</v>
      </c>
      <c r="G24" s="251"/>
      <c r="H24" s="251"/>
      <c r="I24" s="251"/>
      <c r="J24" s="251"/>
    </row>
    <row r="25" spans="1:10" ht="12.75">
      <c r="A25" s="654"/>
      <c r="B25" s="362"/>
      <c r="C25" s="357"/>
      <c r="D25" s="363"/>
      <c r="E25" s="357"/>
      <c r="F25" s="655"/>
      <c r="G25" s="251" t="s">
        <v>226</v>
      </c>
      <c r="H25" s="251"/>
      <c r="I25" s="251"/>
      <c r="J25" s="251"/>
    </row>
    <row r="26" spans="1:10" ht="12.75">
      <c r="A26" s="656"/>
      <c r="B26" s="364"/>
      <c r="C26" s="365"/>
      <c r="D26" s="358"/>
      <c r="E26" s="365"/>
      <c r="F26" s="657"/>
      <c r="G26" s="251"/>
      <c r="H26" s="251"/>
      <c r="I26" s="251"/>
      <c r="J26" s="251"/>
    </row>
    <row r="27" spans="1:10" ht="12.75">
      <c r="A27" s="342"/>
      <c r="B27" s="317"/>
      <c r="C27" s="366"/>
      <c r="D27" s="317"/>
      <c r="E27" s="366"/>
      <c r="F27" s="658"/>
      <c r="G27" s="251"/>
      <c r="H27" s="251"/>
      <c r="I27" s="251"/>
      <c r="J27" s="251"/>
    </row>
    <row r="28" spans="1:10" ht="12.75">
      <c r="A28" s="342"/>
      <c r="B28" s="317"/>
      <c r="C28" s="366"/>
      <c r="D28" s="317"/>
      <c r="E28" s="366"/>
      <c r="F28" s="658"/>
      <c r="G28" s="251"/>
      <c r="H28" s="251"/>
      <c r="I28" s="251"/>
      <c r="J28" s="251"/>
    </row>
    <row r="29" spans="1:10" ht="12.75">
      <c r="A29" s="659"/>
      <c r="B29" s="359"/>
      <c r="C29" s="360"/>
      <c r="D29" s="359"/>
      <c r="E29" s="360"/>
      <c r="F29" s="660"/>
      <c r="G29" s="251"/>
      <c r="H29" s="251"/>
      <c r="I29" s="251"/>
      <c r="J29" s="251"/>
    </row>
    <row r="30" spans="1:10" ht="12.75">
      <c r="A30" s="1131" t="s">
        <v>39</v>
      </c>
      <c r="B30" s="1132"/>
      <c r="C30" s="1132"/>
      <c r="D30" s="1132"/>
      <c r="E30" s="1132"/>
      <c r="F30" s="632">
        <f>SUM(F25:F29)</f>
        <v>0</v>
      </c>
      <c r="G30" s="251"/>
      <c r="H30" s="251"/>
      <c r="I30" s="251"/>
      <c r="J30" s="251"/>
    </row>
    <row r="31" spans="1:10" ht="12.75">
      <c r="A31" s="1131"/>
      <c r="B31" s="1132"/>
      <c r="C31" s="1132"/>
      <c r="D31" s="1132"/>
      <c r="E31" s="1132"/>
      <c r="F31" s="1133"/>
      <c r="G31" s="251"/>
      <c r="H31" s="251"/>
      <c r="I31" s="251"/>
      <c r="J31" s="251"/>
    </row>
    <row r="32" spans="1:10" ht="12.75">
      <c r="A32" s="634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651" t="s">
        <v>34</v>
      </c>
      <c r="G32" s="251"/>
      <c r="H32" s="251"/>
      <c r="I32" s="251"/>
      <c r="J32" s="251"/>
    </row>
    <row r="33" spans="1:10" ht="12.75">
      <c r="A33" s="625">
        <v>6111</v>
      </c>
      <c r="B33" s="626" t="s">
        <v>594</v>
      </c>
      <c r="C33" s="621">
        <v>0.35</v>
      </c>
      <c r="D33" s="622" t="s">
        <v>212</v>
      </c>
      <c r="E33" s="623">
        <v>8.83</v>
      </c>
      <c r="F33" s="632">
        <f>E33*C33</f>
        <v>3.0905</v>
      </c>
      <c r="G33" s="251"/>
      <c r="H33" s="251" t="s">
        <v>227</v>
      </c>
      <c r="I33" s="251" t="s">
        <v>431</v>
      </c>
      <c r="J33" s="251"/>
    </row>
    <row r="34" spans="1:10" ht="12.75">
      <c r="A34" s="619">
        <v>4750</v>
      </c>
      <c r="B34" s="626" t="s">
        <v>42</v>
      </c>
      <c r="C34" s="621">
        <v>0.16</v>
      </c>
      <c r="D34" s="622" t="s">
        <v>212</v>
      </c>
      <c r="E34" s="623">
        <v>11.79</v>
      </c>
      <c r="F34" s="632">
        <f>E34*C34</f>
        <v>1.8863999999999999</v>
      </c>
      <c r="G34" s="251"/>
      <c r="H34" s="251" t="s">
        <v>228</v>
      </c>
      <c r="I34" s="251" t="s">
        <v>432</v>
      </c>
      <c r="J34" s="251"/>
    </row>
    <row r="35" spans="1:10" ht="12.75">
      <c r="A35" s="342"/>
      <c r="B35" s="367"/>
      <c r="C35" s="366"/>
      <c r="D35" s="317"/>
      <c r="E35" s="366"/>
      <c r="F35" s="657">
        <f>C35*E35</f>
        <v>0</v>
      </c>
      <c r="G35" s="251"/>
      <c r="H35" s="251"/>
      <c r="I35" s="251"/>
      <c r="J35" s="251"/>
    </row>
    <row r="36" spans="1:10" ht="12.75">
      <c r="A36" s="342"/>
      <c r="B36" s="367"/>
      <c r="C36" s="366"/>
      <c r="D36" s="317"/>
      <c r="E36" s="366"/>
      <c r="F36" s="657">
        <f>C36*E36</f>
        <v>0</v>
      </c>
      <c r="G36" s="251"/>
      <c r="H36" s="251"/>
      <c r="I36" s="251"/>
      <c r="J36" s="251"/>
    </row>
    <row r="37" spans="1:10" ht="12.75">
      <c r="A37" s="669"/>
      <c r="B37" s="368"/>
      <c r="C37" s="369"/>
      <c r="D37" s="370"/>
      <c r="E37" s="369"/>
      <c r="F37" s="670">
        <f>C37*E37</f>
        <v>0</v>
      </c>
      <c r="G37" s="251"/>
      <c r="H37" s="251"/>
      <c r="I37" s="251"/>
      <c r="J37" s="251"/>
    </row>
    <row r="38" spans="1:10" ht="12.75">
      <c r="A38" s="1131" t="s">
        <v>43</v>
      </c>
      <c r="B38" s="1132"/>
      <c r="C38" s="1132"/>
      <c r="D38" s="1132"/>
      <c r="E38" s="1132"/>
      <c r="F38" s="632">
        <f>SUM(F33:F37)</f>
        <v>4.9769</v>
      </c>
      <c r="G38" s="251"/>
      <c r="H38" s="251"/>
      <c r="I38" s="251"/>
      <c r="J38" s="251"/>
    </row>
    <row r="39" spans="1:10" ht="12.75">
      <c r="A39" s="1131"/>
      <c r="B39" s="1132"/>
      <c r="C39" s="1132"/>
      <c r="D39" s="1132"/>
      <c r="E39" s="1132"/>
      <c r="F39" s="1133"/>
      <c r="G39" s="251"/>
      <c r="H39" s="251"/>
      <c r="I39" s="251"/>
      <c r="J39" s="251"/>
    </row>
    <row r="40" spans="1:10" ht="12.75">
      <c r="A40" s="1131" t="s">
        <v>44</v>
      </c>
      <c r="B40" s="1132"/>
      <c r="C40" s="1132"/>
      <c r="D40" s="1132"/>
      <c r="E40" s="1132"/>
      <c r="F40" s="632">
        <f>F38</f>
        <v>4.9769</v>
      </c>
      <c r="G40" s="251"/>
      <c r="H40" s="251"/>
      <c r="I40" s="251"/>
      <c r="J40" s="251"/>
    </row>
    <row r="41" spans="1:10" ht="12.75">
      <c r="A41" s="1131"/>
      <c r="B41" s="1132"/>
      <c r="C41" s="1132"/>
      <c r="D41" s="1132"/>
      <c r="E41" s="1132"/>
      <c r="F41" s="1133"/>
      <c r="G41" s="251"/>
      <c r="H41" s="251"/>
      <c r="I41" s="251"/>
      <c r="J41" s="251"/>
    </row>
    <row r="42" spans="1:10" ht="12.75">
      <c r="A42" s="1131"/>
      <c r="B42" s="1132"/>
      <c r="C42" s="1132"/>
      <c r="D42" s="1132"/>
      <c r="E42" s="1132"/>
      <c r="F42" s="1133"/>
      <c r="G42" s="251"/>
      <c r="H42" s="251"/>
      <c r="I42" s="251"/>
      <c r="J42" s="251"/>
    </row>
    <row r="43" spans="1:10" ht="12.75">
      <c r="A43" s="1131" t="s">
        <v>45</v>
      </c>
      <c r="B43" s="1132"/>
      <c r="C43" s="1132"/>
      <c r="D43" s="1132"/>
      <c r="E43" s="1132"/>
      <c r="F43" s="632">
        <f>F40+F30+F22</f>
        <v>57.7523</v>
      </c>
      <c r="G43" s="251"/>
      <c r="H43" s="251"/>
      <c r="I43" s="251"/>
      <c r="J43" s="251"/>
    </row>
    <row r="44" spans="1:10" ht="12.75">
      <c r="A44" s="1131"/>
      <c r="B44" s="1132"/>
      <c r="C44" s="1132"/>
      <c r="D44" s="1132"/>
      <c r="E44" s="1132"/>
      <c r="F44" s="1133"/>
      <c r="G44" s="251"/>
      <c r="H44" s="251"/>
      <c r="I44" s="251"/>
      <c r="J44" s="251"/>
    </row>
    <row r="45" spans="1:10" ht="12.75">
      <c r="A45" s="1131" t="s">
        <v>46</v>
      </c>
      <c r="B45" s="1132"/>
      <c r="C45" s="1132"/>
      <c r="D45" s="1132"/>
      <c r="E45" s="408">
        <f>'[1]dados de entrada'!B10</f>
        <v>0.25</v>
      </c>
      <c r="F45" s="632">
        <f>F43*E45</f>
        <v>14.438075</v>
      </c>
      <c r="G45" s="371" t="s">
        <v>229</v>
      </c>
      <c r="H45" s="251"/>
      <c r="I45" s="251"/>
      <c r="J45" s="251"/>
    </row>
    <row r="46" spans="1:10" ht="12.75">
      <c r="A46" s="1131"/>
      <c r="B46" s="1132"/>
      <c r="C46" s="1132"/>
      <c r="D46" s="1132"/>
      <c r="E46" s="1132"/>
      <c r="F46" s="1133"/>
      <c r="G46" s="251"/>
      <c r="H46" s="251"/>
      <c r="I46" s="251"/>
      <c r="J46" s="251"/>
    </row>
    <row r="47" spans="1:10" ht="12.75">
      <c r="A47" s="1131" t="s">
        <v>47</v>
      </c>
      <c r="B47" s="1132"/>
      <c r="C47" s="1132"/>
      <c r="D47" s="1132"/>
      <c r="E47" s="1132"/>
      <c r="F47" s="632">
        <f>F43+F45</f>
        <v>72.190375</v>
      </c>
      <c r="G47" s="251"/>
      <c r="H47" s="251"/>
      <c r="I47" s="251"/>
      <c r="J47" s="251"/>
    </row>
    <row r="48" spans="1:6" ht="13.5" thickBot="1">
      <c r="A48" s="1138"/>
      <c r="B48" s="1139"/>
      <c r="C48" s="1139"/>
      <c r="D48" s="1139"/>
      <c r="E48" s="1139"/>
      <c r="F48" s="1140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154" t="s">
        <v>59</v>
      </c>
      <c r="B1" s="1154"/>
      <c r="C1" s="1154"/>
      <c r="D1" s="70"/>
    </row>
    <row r="2" spans="1:4" s="71" customFormat="1" ht="21" thickBot="1">
      <c r="A2" s="1153" t="str">
        <f>'dados de entrada'!B15</f>
        <v>PREFEITURA MUNICIPAL DE BOMBINHAS</v>
      </c>
      <c r="B2" s="1153"/>
      <c r="C2" s="1153"/>
      <c r="D2" s="70"/>
    </row>
    <row r="3" spans="1:4" s="73" customFormat="1" ht="15.75" thickBot="1">
      <c r="A3" s="1155" t="str">
        <f>'dados de entrada'!B8</f>
        <v>PAVIMENTAÇÃO COM LAJOTAS SEXTAVADAS E DRENAGEM PLUVIAL </v>
      </c>
      <c r="B3" s="1156"/>
      <c r="C3" s="1157"/>
      <c r="D3" s="72"/>
    </row>
    <row r="4" spans="1:4" s="75" customFormat="1" ht="15.75" customHeight="1" thickBot="1">
      <c r="A4" s="1158" t="str">
        <f>'dados de entrada'!C19</f>
        <v>RUA CABRITO - BAIRRO JOSÉ AMANDIO</v>
      </c>
      <c r="B4" s="1159"/>
      <c r="C4" s="1160"/>
      <c r="D4" s="74"/>
    </row>
    <row r="5" spans="1:10" ht="15.75" thickBot="1">
      <c r="A5" s="1161" t="s">
        <v>455</v>
      </c>
      <c r="B5" s="1161"/>
      <c r="C5" s="1161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151" t="s">
        <v>193</v>
      </c>
      <c r="B23" s="1152"/>
      <c r="C23" s="101">
        <v>0.25</v>
      </c>
      <c r="D23" s="102"/>
    </row>
    <row r="24" ht="13.5" thickBot="1"/>
    <row r="25" spans="1:3" ht="12.75">
      <c r="A25" s="1162" t="s">
        <v>194</v>
      </c>
      <c r="B25" s="1163"/>
      <c r="C25" s="1164"/>
    </row>
    <row r="26" spans="1:4" s="107" customFormat="1" ht="12">
      <c r="A26" s="1165" t="s">
        <v>195</v>
      </c>
      <c r="B26" s="1166"/>
      <c r="C26" s="1167"/>
      <c r="D26" s="106"/>
    </row>
    <row r="27" spans="1:4" s="107" customFormat="1" ht="12.75">
      <c r="A27" s="1173"/>
      <c r="B27" s="1174"/>
      <c r="C27" s="1175"/>
      <c r="D27" s="106"/>
    </row>
    <row r="28" spans="1:4" s="107" customFormat="1" ht="12.75">
      <c r="A28" s="1173"/>
      <c r="B28" s="1174"/>
      <c r="C28" s="1175"/>
      <c r="D28" s="106"/>
    </row>
    <row r="29" spans="1:3" ht="12.75">
      <c r="A29" s="1173"/>
      <c r="B29" s="1174"/>
      <c r="C29" s="1175"/>
    </row>
    <row r="30" spans="1:3" ht="12.75">
      <c r="A30" s="1176" t="s">
        <v>456</v>
      </c>
      <c r="B30" s="1174"/>
      <c r="C30" s="1175"/>
    </row>
    <row r="31" spans="1:5" ht="15">
      <c r="A31" s="1168" t="str">
        <f>'dados de entrada'!C24</f>
        <v>Carlos Alberto Bley</v>
      </c>
      <c r="B31" s="1169"/>
      <c r="C31" s="1170"/>
      <c r="D31" s="108"/>
      <c r="E31" s="109"/>
    </row>
    <row r="32" spans="1:5" ht="13.5" thickBot="1">
      <c r="A32" s="845" t="str">
        <f>'dados de entrada'!B17</f>
        <v>Engenheiro Civil - CREA SC 008.333-3</v>
      </c>
      <c r="B32" s="1171"/>
      <c r="C32" s="1172"/>
      <c r="D32" s="110"/>
      <c r="E32" s="109"/>
    </row>
  </sheetData>
  <sheetProtection/>
  <mergeCells count="14">
    <mergeCell ref="A25:C25"/>
    <mergeCell ref="A26:C26"/>
    <mergeCell ref="A31:C31"/>
    <mergeCell ref="A32:C32"/>
    <mergeCell ref="A27:C27"/>
    <mergeCell ref="A28:C28"/>
    <mergeCell ref="A29:C29"/>
    <mergeCell ref="A30:C30"/>
    <mergeCell ref="A23:B23"/>
    <mergeCell ref="A2:C2"/>
    <mergeCell ref="A1:C1"/>
    <mergeCell ref="A3:C3"/>
    <mergeCell ref="A4:C4"/>
    <mergeCell ref="A5:C5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434</v>
      </c>
      <c r="B1" s="59" t="s">
        <v>569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565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41671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547</v>
      </c>
      <c r="C4" s="58" t="s">
        <v>145</v>
      </c>
      <c r="G4" s="58" t="s">
        <v>119</v>
      </c>
      <c r="H4" s="58" t="s">
        <v>548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463</v>
      </c>
      <c r="C7" s="58" t="s">
        <v>464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566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639" t="s">
        <v>607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1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7:10" ht="12.75"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 CABRITO - </v>
      </c>
      <c r="C18" s="58" t="s">
        <v>150</v>
      </c>
    </row>
    <row r="19" spans="2:3" ht="12.75">
      <c r="B19" t="str">
        <f>CONCATENATE(A2,B2)</f>
        <v>BAIRRO JOSÉ AMANDIO</v>
      </c>
      <c r="C19" t="str">
        <f>CONCATENATE(B18,B19)</f>
        <v>RUA CABRITO - BAIRRO JOSÉ AMANDIO</v>
      </c>
    </row>
    <row r="20" ht="12.75">
      <c r="C20" t="str">
        <f>CONCATENATE(C18,C19)</f>
        <v>Localização: RUA CABRITO - BAIRRO JOSÉ AMANDIO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E9" sqref="E9:E20"/>
    </sheetView>
  </sheetViews>
  <sheetFormatPr defaultColWidth="9.140625" defaultRowHeight="12.75"/>
  <cols>
    <col min="1" max="1" width="7.57421875" style="252" customWidth="1"/>
    <col min="2" max="2" width="7.7109375" style="340" customWidth="1"/>
    <col min="3" max="3" width="11.140625" style="317" customWidth="1"/>
    <col min="4" max="4" width="13.140625" style="317" bestFit="1" customWidth="1"/>
    <col min="5" max="5" width="11.421875" style="317" customWidth="1"/>
    <col min="6" max="6" width="11.28125" style="317" customWidth="1"/>
    <col min="7" max="7" width="13.140625" style="317" customWidth="1"/>
    <col min="8" max="8" width="11.00390625" style="317" customWidth="1"/>
    <col min="9" max="9" width="13.421875" style="317" customWidth="1"/>
    <col min="10" max="10" width="8.57421875" style="317" customWidth="1"/>
    <col min="11" max="11" width="10.421875" style="317" bestFit="1" customWidth="1"/>
    <col min="12" max="12" width="11.421875" style="317" customWidth="1"/>
    <col min="13" max="13" width="11.28125" style="317" customWidth="1"/>
    <col min="14" max="16384" width="9.140625" style="252" customWidth="1"/>
  </cols>
  <sheetData>
    <row r="1" spans="1:13" ht="18">
      <c r="A1" s="686" t="s">
        <v>59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ht="23.25" customHeight="1" thickBot="1">
      <c r="A2" s="687" t="str">
        <f>'dados de entrada'!B15</f>
        <v>PREFEITURA MUNICIPAL DE BOMBINHAS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</row>
    <row r="3" spans="1:13" ht="21" thickBot="1">
      <c r="A3" s="253" t="s">
        <v>60</v>
      </c>
      <c r="B3" s="254"/>
      <c r="C3" s="688" t="str">
        <f>'dados de entrada'!B8</f>
        <v>PAVIMENTAÇÃO COM LAJOTAS SEXTAVADAS E DRENAGEM PLUVIAL </v>
      </c>
      <c r="D3" s="688"/>
      <c r="E3" s="688"/>
      <c r="F3" s="688"/>
      <c r="G3" s="688"/>
      <c r="H3" s="688"/>
      <c r="I3" s="688"/>
      <c r="J3" s="688"/>
      <c r="K3" s="688"/>
      <c r="L3" s="688"/>
      <c r="M3" s="689"/>
    </row>
    <row r="4" spans="1:13" ht="18.75" thickBot="1">
      <c r="A4" s="253" t="s">
        <v>62</v>
      </c>
      <c r="B4" s="255"/>
      <c r="C4" s="688" t="str">
        <f>'dados de entrada'!C19</f>
        <v>RUA CABRITO - BAIRRO JOSÉ AMANDIO</v>
      </c>
      <c r="D4" s="688"/>
      <c r="E4" s="688"/>
      <c r="F4" s="688"/>
      <c r="G4" s="688"/>
      <c r="H4" s="688"/>
      <c r="I4" s="688"/>
      <c r="J4" s="688"/>
      <c r="K4" s="688"/>
      <c r="L4" s="688"/>
      <c r="M4" s="689"/>
    </row>
    <row r="5" spans="1:16" ht="21" customHeight="1" thickBot="1">
      <c r="A5" s="690" t="s">
        <v>421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P5" s="256" t="s">
        <v>64</v>
      </c>
    </row>
    <row r="6" spans="1:16" ht="14.25" customHeight="1">
      <c r="A6" s="695" t="s">
        <v>65</v>
      </c>
      <c r="B6" s="696"/>
      <c r="C6" s="678" t="s">
        <v>66</v>
      </c>
      <c r="D6" s="679"/>
      <c r="E6" s="257" t="s">
        <v>67</v>
      </c>
      <c r="F6" s="684" t="s">
        <v>68</v>
      </c>
      <c r="G6" s="697" t="s">
        <v>69</v>
      </c>
      <c r="H6" s="678" t="s">
        <v>70</v>
      </c>
      <c r="I6" s="679"/>
      <c r="J6" s="682" t="s">
        <v>71</v>
      </c>
      <c r="K6" s="697" t="s">
        <v>72</v>
      </c>
      <c r="L6" s="678" t="s">
        <v>73</v>
      </c>
      <c r="M6" s="679"/>
      <c r="N6" s="258"/>
      <c r="P6" s="259">
        <v>70</v>
      </c>
    </row>
    <row r="7" spans="1:14" ht="15" customHeight="1" thickBot="1">
      <c r="A7" s="691" t="s">
        <v>74</v>
      </c>
      <c r="B7" s="692"/>
      <c r="C7" s="260" t="s">
        <v>75</v>
      </c>
      <c r="D7" s="261" t="s">
        <v>76</v>
      </c>
      <c r="E7" s="262" t="s">
        <v>77</v>
      </c>
      <c r="F7" s="685"/>
      <c r="G7" s="698"/>
      <c r="H7" s="260" t="s">
        <v>65</v>
      </c>
      <c r="I7" s="261" t="s">
        <v>78</v>
      </c>
      <c r="J7" s="683"/>
      <c r="K7" s="698"/>
      <c r="L7" s="260" t="s">
        <v>79</v>
      </c>
      <c r="M7" s="261" t="s">
        <v>80</v>
      </c>
      <c r="N7" s="258"/>
    </row>
    <row r="8" spans="1:20" s="266" customFormat="1" ht="15" customHeight="1">
      <c r="A8" s="702"/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4"/>
      <c r="N8" s="263"/>
      <c r="O8" s="264"/>
      <c r="P8" s="265" t="s">
        <v>81</v>
      </c>
      <c r="Q8" s="264"/>
      <c r="R8" s="264"/>
      <c r="S8" s="264"/>
      <c r="T8" s="264"/>
    </row>
    <row r="9" spans="1:16" ht="15" customHeight="1">
      <c r="A9" s="267">
        <v>10</v>
      </c>
      <c r="B9" s="268" t="s">
        <v>570</v>
      </c>
      <c r="C9" s="269">
        <v>15.58</v>
      </c>
      <c r="D9" s="270">
        <v>15.52</v>
      </c>
      <c r="E9" s="271">
        <v>30</v>
      </c>
      <c r="F9" s="272">
        <v>30</v>
      </c>
      <c r="G9" s="273">
        <f>ABS((C9-D9)/E9)</f>
        <v>0.0020000000000000165</v>
      </c>
      <c r="H9" s="274">
        <f>((F9*$P$6)/10000)</f>
        <v>0.21</v>
      </c>
      <c r="I9" s="275">
        <f>H9</f>
        <v>0.21</v>
      </c>
      <c r="J9" s="276">
        <v>0.7</v>
      </c>
      <c r="K9" s="277">
        <f>(2.78*J9*$P$9*I9)/1000</f>
        <v>0.034703407199999994</v>
      </c>
      <c r="L9" s="277">
        <f>1.55*(K9*$P$16/(G9^0.5))^0.375</f>
        <v>0.2765393098520896</v>
      </c>
      <c r="M9" s="278">
        <f>IF(L9&lt;0.4,0.4,IF(AND(L9&gt;0.4,L9&lt;0.6),0.6,0.8))</f>
        <v>0.4</v>
      </c>
      <c r="N9" s="258"/>
      <c r="P9" s="279">
        <v>84.92</v>
      </c>
    </row>
    <row r="10" spans="1:16" ht="15" customHeight="1">
      <c r="A10" s="267" t="str">
        <f>B9</f>
        <v>CL 9 </v>
      </c>
      <c r="B10" s="268" t="s">
        <v>571</v>
      </c>
      <c r="C10" s="270">
        <f>D9</f>
        <v>15.52</v>
      </c>
      <c r="D10" s="270">
        <v>15.44</v>
      </c>
      <c r="E10" s="271">
        <v>40</v>
      </c>
      <c r="F10" s="272">
        <v>30</v>
      </c>
      <c r="G10" s="273">
        <f>ABS((C10-D10)/E10)</f>
        <v>0.0020000000000000018</v>
      </c>
      <c r="H10" s="274">
        <f>((F10*$P$6)/10000)</f>
        <v>0.21</v>
      </c>
      <c r="I10" s="275">
        <f>H10+I9</f>
        <v>0.42</v>
      </c>
      <c r="J10" s="276">
        <v>0.7</v>
      </c>
      <c r="K10" s="277">
        <f>(2.78*J10*$P$9*I10)/1000</f>
        <v>0.06940681439999999</v>
      </c>
      <c r="L10" s="277">
        <f>1.55*(K10*$P$16/(G10^0.5))^0.375</f>
        <v>0.35862711543208203</v>
      </c>
      <c r="M10" s="278">
        <f>IF(L10&lt;0.4,0.4,IF(AND(L10&gt;0.4,L10&lt;0.6),0.6,0.8))</f>
        <v>0.4</v>
      </c>
      <c r="N10" s="258"/>
      <c r="P10" s="279"/>
    </row>
    <row r="11" spans="1:16" ht="15" customHeight="1">
      <c r="A11" s="267" t="str">
        <f>B10</f>
        <v>CL 10</v>
      </c>
      <c r="B11" s="268">
        <v>11</v>
      </c>
      <c r="C11" s="269">
        <f>D10</f>
        <v>15.44</v>
      </c>
      <c r="D11" s="270">
        <v>14.93</v>
      </c>
      <c r="E11" s="271">
        <v>27</v>
      </c>
      <c r="F11" s="272">
        <v>10</v>
      </c>
      <c r="G11" s="273">
        <f>ABS((C11-D11)/E11)</f>
        <v>0.018888888888888882</v>
      </c>
      <c r="H11" s="274">
        <f>((F11*$P$6)/10000)</f>
        <v>0.07</v>
      </c>
      <c r="I11" s="275">
        <f>H11+I10</f>
        <v>0.49</v>
      </c>
      <c r="J11" s="276">
        <v>0.7</v>
      </c>
      <c r="K11" s="277">
        <f>(2.78*J11*$P$9*I11)/1000</f>
        <v>0.0809746168</v>
      </c>
      <c r="L11" s="277">
        <f>1.55*(K11*$P$16/(G11^0.5))^0.375</f>
        <v>0.24940352713005468</v>
      </c>
      <c r="M11" s="278">
        <f>IF(L11&lt;0.4,0.4,IF(AND(L11&gt;0.4,L11&lt;0.6),0.6,0.8))</f>
        <v>0.4</v>
      </c>
      <c r="N11" s="258"/>
      <c r="P11" s="279"/>
    </row>
    <row r="12" spans="1:14" ht="15" customHeight="1">
      <c r="A12" s="267"/>
      <c r="B12" s="268"/>
      <c r="C12" s="269"/>
      <c r="D12" s="270"/>
      <c r="E12" s="271"/>
      <c r="F12" s="272"/>
      <c r="G12" s="273"/>
      <c r="H12" s="274"/>
      <c r="I12" s="275"/>
      <c r="J12" s="276"/>
      <c r="K12" s="277"/>
      <c r="L12" s="277"/>
      <c r="M12" s="278"/>
      <c r="N12" s="258"/>
    </row>
    <row r="13" spans="1:16" ht="15" customHeight="1">
      <c r="A13" s="267">
        <v>12</v>
      </c>
      <c r="B13" s="268">
        <v>13</v>
      </c>
      <c r="C13" s="269">
        <v>18.74</v>
      </c>
      <c r="D13" s="270">
        <v>17.87</v>
      </c>
      <c r="E13" s="271">
        <v>28</v>
      </c>
      <c r="F13" s="272">
        <v>40</v>
      </c>
      <c r="G13" s="273">
        <f>ABS((C13-D13)/E13)</f>
        <v>0.03107142857142848</v>
      </c>
      <c r="H13" s="274">
        <f>((F13*$P$6)/10000)</f>
        <v>0.28</v>
      </c>
      <c r="I13" s="275">
        <f>H13+I12</f>
        <v>0.28</v>
      </c>
      <c r="J13" s="276">
        <v>0.7</v>
      </c>
      <c r="K13" s="277">
        <f>(2.78*J13*$P$9*I13)/1000</f>
        <v>0.0462712096</v>
      </c>
      <c r="L13" s="277">
        <f>1.55*(K13*$P$16/(G13^0.5))^0.375</f>
        <v>0.18417653413505966</v>
      </c>
      <c r="M13" s="278">
        <f>IF(L13&lt;0.4,0.4,IF(AND(L13&gt;0.4,L13&lt;0.6),0.6,0.8))</f>
        <v>0.4</v>
      </c>
      <c r="N13" s="258"/>
      <c r="P13" s="280" t="s">
        <v>82</v>
      </c>
    </row>
    <row r="14" spans="1:16" ht="15" customHeight="1">
      <c r="A14" s="267"/>
      <c r="B14" s="268"/>
      <c r="C14" s="269"/>
      <c r="D14" s="270"/>
      <c r="E14" s="271"/>
      <c r="F14" s="272"/>
      <c r="G14" s="273"/>
      <c r="H14" s="274"/>
      <c r="I14" s="275"/>
      <c r="J14" s="276"/>
      <c r="K14" s="277"/>
      <c r="L14" s="277"/>
      <c r="M14" s="278"/>
      <c r="N14" s="258"/>
      <c r="P14" s="280"/>
    </row>
    <row r="15" spans="1:16" ht="15">
      <c r="A15" s="281">
        <v>14</v>
      </c>
      <c r="B15" s="282">
        <v>15</v>
      </c>
      <c r="C15" s="283">
        <v>14.38</v>
      </c>
      <c r="D15" s="284">
        <v>13.92</v>
      </c>
      <c r="E15" s="285">
        <v>40</v>
      </c>
      <c r="F15" s="286">
        <v>23</v>
      </c>
      <c r="G15" s="273">
        <f>ABS((C15-D15)/E15)</f>
        <v>0.01150000000000002</v>
      </c>
      <c r="H15" s="274">
        <f>((F15*$P$6)/10000)</f>
        <v>0.161</v>
      </c>
      <c r="I15" s="275">
        <f>H15</f>
        <v>0.161</v>
      </c>
      <c r="J15" s="276">
        <v>0.7</v>
      </c>
      <c r="K15" s="277">
        <f>(2.78*J15*$P$9*I15)/1000</f>
        <v>0.02660594552</v>
      </c>
      <c r="L15" s="277">
        <f>1.55*(K15*$P$16/(G15^0.5))^0.375</f>
        <v>0.18032113062548308</v>
      </c>
      <c r="M15" s="278">
        <f>IF(L15&lt;0.4,0.4,IF(AND(L15&gt;0.4,L15&lt;0.6),0.6,0.8))</f>
        <v>0.4</v>
      </c>
      <c r="N15" s="258"/>
      <c r="P15" s="280"/>
    </row>
    <row r="16" spans="1:16" s="264" customFormat="1" ht="15" customHeight="1">
      <c r="A16" s="267"/>
      <c r="B16" s="287"/>
      <c r="C16" s="269"/>
      <c r="D16" s="288"/>
      <c r="E16" s="271"/>
      <c r="F16" s="272"/>
      <c r="G16" s="273"/>
      <c r="H16" s="274"/>
      <c r="I16" s="275"/>
      <c r="J16" s="276"/>
      <c r="K16" s="277"/>
      <c r="L16" s="277"/>
      <c r="M16" s="278"/>
      <c r="N16" s="263"/>
      <c r="P16" s="289">
        <v>0.013</v>
      </c>
    </row>
    <row r="17" spans="1:16" s="264" customFormat="1" ht="15" customHeight="1">
      <c r="A17" s="267">
        <v>16</v>
      </c>
      <c r="B17" s="287" t="s">
        <v>572</v>
      </c>
      <c r="C17" s="269">
        <v>16.3</v>
      </c>
      <c r="D17" s="288">
        <v>14.92</v>
      </c>
      <c r="E17" s="271">
        <v>40</v>
      </c>
      <c r="F17" s="272">
        <v>32</v>
      </c>
      <c r="G17" s="273">
        <f>ABS((C17-D17)/E17)</f>
        <v>0.03450000000000002</v>
      </c>
      <c r="H17" s="274">
        <f>((F17*$P$6)/10000)</f>
        <v>0.224</v>
      </c>
      <c r="I17" s="275">
        <f>H17+I16</f>
        <v>0.224</v>
      </c>
      <c r="J17" s="276">
        <v>0.7</v>
      </c>
      <c r="K17" s="277">
        <f>(2.78*J17*$P$9*I17)/1000</f>
        <v>0.03701696767999999</v>
      </c>
      <c r="L17" s="277">
        <f>1.55*(K17*$P$16/(G17^0.5))^0.375</f>
        <v>0.16610002196001353</v>
      </c>
      <c r="M17" s="278">
        <f>IF(L17&lt;0.4,0.4,IF(AND(L17&gt;0.4,L17&lt;0.6),0.6,0.8))</f>
        <v>0.4</v>
      </c>
      <c r="N17" s="263"/>
      <c r="P17" s="289"/>
    </row>
    <row r="18" spans="1:14" ht="15" customHeight="1">
      <c r="A18" s="267" t="str">
        <f>B17</f>
        <v>CL 11</v>
      </c>
      <c r="B18" s="268" t="s">
        <v>573</v>
      </c>
      <c r="C18" s="269">
        <f>D17</f>
        <v>14.92</v>
      </c>
      <c r="D18" s="270">
        <v>14.2</v>
      </c>
      <c r="E18" s="271">
        <v>40</v>
      </c>
      <c r="F18" s="272">
        <v>40</v>
      </c>
      <c r="G18" s="273">
        <f>ABS((C18-D18)/E18)</f>
        <v>0.018000000000000016</v>
      </c>
      <c r="H18" s="274">
        <f>((F18*$P$6)/10000)</f>
        <v>0.28</v>
      </c>
      <c r="I18" s="275">
        <f>H18+I17</f>
        <v>0.504</v>
      </c>
      <c r="J18" s="276">
        <v>0.7</v>
      </c>
      <c r="K18" s="277">
        <f>(2.78*J18*$P$9*I18)/1000</f>
        <v>0.08328817727999999</v>
      </c>
      <c r="L18" s="277">
        <f>1.55*(K18*$P$16/(G18^0.5))^0.375</f>
        <v>0.2543405580146424</v>
      </c>
      <c r="M18" s="278">
        <f>IF(L18&lt;0.4,0.4,IF(AND(L18&gt;0.4,L18&lt;0.6),0.6,0.8))</f>
        <v>0.4</v>
      </c>
      <c r="N18" s="258"/>
    </row>
    <row r="19" spans="1:14" ht="15" customHeight="1">
      <c r="A19" s="267" t="str">
        <f>B18</f>
        <v>CL 12</v>
      </c>
      <c r="B19" s="268">
        <v>15</v>
      </c>
      <c r="C19" s="269">
        <f>D18</f>
        <v>14.2</v>
      </c>
      <c r="D19" s="270">
        <v>13.92</v>
      </c>
      <c r="E19" s="271">
        <v>40</v>
      </c>
      <c r="F19" s="272">
        <v>40</v>
      </c>
      <c r="G19" s="273">
        <f>ABS((C19-D19)/E19)</f>
        <v>0.006999999999999984</v>
      </c>
      <c r="H19" s="274">
        <f>((F19*$P$6)/10000)</f>
        <v>0.28</v>
      </c>
      <c r="I19" s="275">
        <f>H19+I18</f>
        <v>0.784</v>
      </c>
      <c r="J19" s="276">
        <v>0.7</v>
      </c>
      <c r="K19" s="277">
        <f>(2.78*J19*$P$9*I19)/1000</f>
        <v>0.12955938688</v>
      </c>
      <c r="L19" s="277">
        <f>1.55*(K19*$P$16/(G19^0.5))^0.375</f>
        <v>0.35832771844809974</v>
      </c>
      <c r="M19" s="278">
        <f>IF(L19&lt;0.4,0.4,IF(AND(L19&gt;0.4,L19&lt;0.6),0.6,0.8))</f>
        <v>0.4</v>
      </c>
      <c r="N19" s="258"/>
    </row>
    <row r="20" spans="1:14" ht="15" customHeight="1">
      <c r="A20" s="267"/>
      <c r="B20" s="268"/>
      <c r="C20" s="269"/>
      <c r="D20" s="270"/>
      <c r="E20" s="271"/>
      <c r="F20" s="272"/>
      <c r="G20" s="273"/>
      <c r="H20" s="274"/>
      <c r="I20" s="275"/>
      <c r="J20" s="276"/>
      <c r="K20" s="277"/>
      <c r="L20" s="277"/>
      <c r="M20" s="278"/>
      <c r="N20" s="258"/>
    </row>
    <row r="21" spans="1:14" ht="15" customHeight="1">
      <c r="A21" s="290"/>
      <c r="B21" s="268"/>
      <c r="C21" s="269"/>
      <c r="D21" s="270"/>
      <c r="E21" s="271"/>
      <c r="F21" s="272"/>
      <c r="G21" s="273"/>
      <c r="H21" s="274"/>
      <c r="I21" s="275"/>
      <c r="J21" s="276"/>
      <c r="K21" s="277"/>
      <c r="L21" s="277"/>
      <c r="M21" s="278"/>
      <c r="N21" s="258"/>
    </row>
    <row r="22" spans="1:14" ht="15" customHeight="1">
      <c r="A22" s="290"/>
      <c r="B22" s="268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8"/>
      <c r="N22" s="258"/>
    </row>
    <row r="23" spans="1:14" s="264" customFormat="1" ht="15" customHeight="1" thickBot="1">
      <c r="A23" s="291"/>
      <c r="B23" s="268"/>
      <c r="C23" s="292"/>
      <c r="D23" s="288"/>
      <c r="E23" s="293"/>
      <c r="F23" s="294"/>
      <c r="G23" s="273"/>
      <c r="H23" s="295"/>
      <c r="I23" s="275"/>
      <c r="J23" s="276"/>
      <c r="K23" s="277"/>
      <c r="L23" s="277"/>
      <c r="M23" s="278"/>
      <c r="N23" s="263"/>
    </row>
    <row r="24" spans="1:14" s="264" customFormat="1" ht="15" customHeight="1">
      <c r="A24" s="705" t="s">
        <v>262</v>
      </c>
      <c r="B24" s="706"/>
      <c r="C24" s="706"/>
      <c r="D24" s="706"/>
      <c r="E24" s="707"/>
      <c r="F24" s="296" t="s">
        <v>422</v>
      </c>
      <c r="G24" s="297"/>
      <c r="H24" s="298"/>
      <c r="I24" s="299" t="s">
        <v>85</v>
      </c>
      <c r="J24" s="300"/>
      <c r="K24" s="300"/>
      <c r="L24" s="300"/>
      <c r="M24" s="301"/>
      <c r="N24" s="263"/>
    </row>
    <row r="25" spans="1:14" s="264" customFormat="1" ht="15" customHeight="1">
      <c r="A25" s="302"/>
      <c r="B25" s="303"/>
      <c r="C25" s="304"/>
      <c r="D25" s="305"/>
      <c r="E25" s="306"/>
      <c r="F25" s="307"/>
      <c r="G25" s="308"/>
      <c r="H25" s="309"/>
      <c r="I25" s="310"/>
      <c r="J25" s="311"/>
      <c r="K25" s="312"/>
      <c r="L25" s="693"/>
      <c r="M25" s="694"/>
      <c r="N25" s="263"/>
    </row>
    <row r="26" spans="1:13" ht="15">
      <c r="A26" s="313"/>
      <c r="B26" s="314"/>
      <c r="C26" s="315"/>
      <c r="D26" s="316"/>
      <c r="F26" s="318"/>
      <c r="G26" s="319"/>
      <c r="I26" s="320"/>
      <c r="J26" s="321"/>
      <c r="K26" s="322"/>
      <c r="L26" s="680"/>
      <c r="M26" s="681"/>
    </row>
    <row r="27" spans="1:13" ht="13.5" thickBot="1">
      <c r="A27" s="323"/>
      <c r="B27" s="324"/>
      <c r="C27" s="325"/>
      <c r="D27" s="326"/>
      <c r="E27" s="327"/>
      <c r="F27" s="328"/>
      <c r="G27" s="329"/>
      <c r="H27" s="327"/>
      <c r="I27" s="327"/>
      <c r="J27" s="330"/>
      <c r="K27" s="331"/>
      <c r="L27" s="332"/>
      <c r="M27" s="333"/>
    </row>
    <row r="28" spans="1:13" ht="15">
      <c r="A28" s="334"/>
      <c r="B28" s="335"/>
      <c r="C28" s="336"/>
      <c r="D28" s="336"/>
      <c r="E28" s="336"/>
      <c r="F28" s="336"/>
      <c r="G28" s="336"/>
      <c r="H28" s="336"/>
      <c r="I28" s="337"/>
      <c r="J28" s="338" t="s">
        <v>83</v>
      </c>
      <c r="K28" s="336"/>
      <c r="L28" s="336"/>
      <c r="M28" s="337"/>
    </row>
    <row r="29" spans="1:13" ht="15">
      <c r="A29" s="339"/>
      <c r="I29" s="341"/>
      <c r="J29" s="342"/>
      <c r="M29" s="341"/>
    </row>
    <row r="30" spans="1:13" ht="15">
      <c r="A30" s="339"/>
      <c r="I30" s="341"/>
      <c r="J30" s="711" t="s">
        <v>20</v>
      </c>
      <c r="K30" s="712"/>
      <c r="L30" s="712"/>
      <c r="M30" s="713"/>
    </row>
    <row r="31" spans="1:13" ht="15.75">
      <c r="A31" s="339"/>
      <c r="H31" s="343"/>
      <c r="I31" s="344"/>
      <c r="J31" s="708" t="str">
        <f>'dados de entrada'!B6</f>
        <v>Carlos Alberto Bley</v>
      </c>
      <c r="K31" s="709"/>
      <c r="L31" s="709"/>
      <c r="M31" s="710"/>
    </row>
    <row r="32" spans="1:13" ht="15.75" thickBot="1">
      <c r="A32" s="345"/>
      <c r="B32" s="346"/>
      <c r="C32" s="347"/>
      <c r="D32" s="327"/>
      <c r="E32" s="347"/>
      <c r="F32" s="348"/>
      <c r="G32" s="349"/>
      <c r="H32" s="350"/>
      <c r="I32" s="351"/>
      <c r="J32" s="699" t="str">
        <f>'dados de entrada'!B17</f>
        <v>Engenheiro Civil - CREA SC 008.333-3</v>
      </c>
      <c r="K32" s="700"/>
      <c r="L32" s="700"/>
      <c r="M32" s="701"/>
    </row>
    <row r="33" spans="1:14" s="264" customFormat="1" ht="15" customHeight="1">
      <c r="A33" s="252"/>
      <c r="B33" s="340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263"/>
    </row>
    <row r="34" spans="1:14" s="264" customFormat="1" ht="15" customHeight="1">
      <c r="A34" s="252"/>
      <c r="B34" s="340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263"/>
    </row>
    <row r="35" spans="1:14" s="264" customFormat="1" ht="15">
      <c r="A35" s="252"/>
      <c r="B35" s="340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263"/>
    </row>
  </sheetData>
  <sheetProtection/>
  <mergeCells count="21">
    <mergeCell ref="J30:M30"/>
    <mergeCell ref="H6:I6"/>
    <mergeCell ref="L25:M25"/>
    <mergeCell ref="A6:B6"/>
    <mergeCell ref="G6:G7"/>
    <mergeCell ref="J32:M32"/>
    <mergeCell ref="K6:K7"/>
    <mergeCell ref="L6:M6"/>
    <mergeCell ref="A8:M8"/>
    <mergeCell ref="A24:E24"/>
    <mergeCell ref="J31:M31"/>
    <mergeCell ref="C6:D6"/>
    <mergeCell ref="L26:M26"/>
    <mergeCell ref="J6:J7"/>
    <mergeCell ref="F6:F7"/>
    <mergeCell ref="A1:M1"/>
    <mergeCell ref="A2:M2"/>
    <mergeCell ref="C3:M3"/>
    <mergeCell ref="A5:M5"/>
    <mergeCell ref="C4:M4"/>
    <mergeCell ref="A7:B7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zoomScale="85" zoomScaleNormal="85" workbookViewId="0" topLeftCell="A10">
      <selection activeCell="J11" sqref="J11:J21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787" t="s">
        <v>59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</row>
    <row r="2" spans="1:19" ht="27" thickBot="1">
      <c r="A2" s="786" t="str">
        <f>'dados de entrada'!B15</f>
        <v>PREFEITURA MUNICIPAL DE BOMBINHAS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</row>
    <row r="3" spans="1:19" ht="21" thickBot="1">
      <c r="A3" s="24" t="s">
        <v>60</v>
      </c>
      <c r="B3" s="25"/>
      <c r="C3" s="25"/>
      <c r="D3" s="776" t="str">
        <f>'dados de entrada'!B8</f>
        <v>PAVIMENTAÇÃO COM LAJOTAS SEXTAVADAS E DRENAGEM PLUVIAL </v>
      </c>
      <c r="E3" s="776"/>
      <c r="F3" s="776"/>
      <c r="G3" s="776"/>
      <c r="H3" s="776"/>
      <c r="I3" s="776"/>
      <c r="J3" s="776"/>
      <c r="K3" s="776"/>
      <c r="L3" s="777"/>
      <c r="M3" s="774" t="s">
        <v>61</v>
      </c>
      <c r="N3" s="775"/>
      <c r="O3" s="124">
        <f>'dados de entrada'!B3</f>
        <v>41671</v>
      </c>
      <c r="P3" s="792"/>
      <c r="Q3" s="793"/>
      <c r="R3" s="793"/>
      <c r="S3" s="794"/>
    </row>
    <row r="4" spans="1:19" ht="18.75" thickBot="1">
      <c r="A4" s="24" t="s">
        <v>62</v>
      </c>
      <c r="B4" s="26"/>
      <c r="C4" s="26"/>
      <c r="D4" s="776" t="str">
        <f>'dados de entrada'!C19</f>
        <v>RUA CABRITO - BAIRRO JOSÉ AMANDIO</v>
      </c>
      <c r="E4" s="776"/>
      <c r="F4" s="776"/>
      <c r="G4" s="776"/>
      <c r="H4" s="776"/>
      <c r="I4" s="776"/>
      <c r="J4" s="776"/>
      <c r="K4" s="776"/>
      <c r="L4" s="777"/>
      <c r="M4" s="789" t="s">
        <v>63</v>
      </c>
      <c r="N4" s="790"/>
      <c r="O4" s="790"/>
      <c r="P4" s="790"/>
      <c r="Q4" s="790"/>
      <c r="R4" s="790"/>
      <c r="S4" s="791"/>
    </row>
    <row r="5" spans="1:19" ht="20.25">
      <c r="A5" s="788" t="s">
        <v>142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8" ht="21" thickBot="1">
      <c r="A6" s="769" t="s">
        <v>86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398">
        <v>116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83.52</v>
      </c>
      <c r="O8" s="40"/>
      <c r="P8" s="40"/>
      <c r="Q8" s="48">
        <f>(((PI()*(L8^2))/4))*F8</f>
        <v>13.857251035719221</v>
      </c>
      <c r="R8" s="43">
        <f>N8-(Q8)</f>
        <v>69.66274896428078</v>
      </c>
    </row>
    <row r="9" spans="1:18" ht="21" thickBot="1">
      <c r="A9" s="769" t="s">
        <v>93</v>
      </c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</row>
    <row r="10" spans="1:23" s="49" customFormat="1" ht="60.75" thickBot="1">
      <c r="A10" s="779" t="s">
        <v>94</v>
      </c>
      <c r="B10" s="780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8"/>
      <c r="U10" s="179"/>
      <c r="V10" s="179"/>
      <c r="W10" s="180"/>
    </row>
    <row r="11" spans="1:23" s="50" customFormat="1" ht="15">
      <c r="A11" s="143">
        <f>Drenagem!A9</f>
        <v>10</v>
      </c>
      <c r="B11" s="142" t="str">
        <f>Drenagem!B9</f>
        <v>CL 9 </v>
      </c>
      <c r="C11" s="138"/>
      <c r="D11" s="68">
        <v>0.9</v>
      </c>
      <c r="E11" s="68">
        <v>1.16</v>
      </c>
      <c r="F11" s="68">
        <f>Drenagem!E9</f>
        <v>30</v>
      </c>
      <c r="G11" s="68">
        <v>1</v>
      </c>
      <c r="H11" s="68">
        <f>Drenagem!M9</f>
        <v>0.4</v>
      </c>
      <c r="I11" s="68">
        <f>G11*F11</f>
        <v>30</v>
      </c>
      <c r="J11" s="68">
        <f>AVERAGE(D11:E11)</f>
        <v>1.03</v>
      </c>
      <c r="K11" s="68">
        <f>IF(H11=0.4,0.2,IF(H11=0.6,0.35,IF(H11=0.8,0.4,IF(H11=1,0.45,IF(H11=1.2,0.5,IF(H11=1.5,0.6))))))</f>
        <v>0.2</v>
      </c>
      <c r="L11" s="112">
        <f>IF(H11=0.4,0.49,IF(H11=0.6,0.72,IF(H11=0.8,0.95,IF(H11=1,1.16,IF(H11=1.2,1.4,IF(H11=1.5,1.7))))))</f>
        <v>0.49</v>
      </c>
      <c r="M11" s="68">
        <f>IF(G11=1,(L11*G11)+(K11*2),((L11*G11)+(K11*2)+0.3))</f>
        <v>0.89</v>
      </c>
      <c r="N11" s="68">
        <f>IF(J11&lt;=1.5,F11*J11*M11,F11*1.5*M11)</f>
        <v>27.501</v>
      </c>
      <c r="O11" s="131" t="str">
        <f>IF(J11&gt;1.5,((J11-1.5)*M11*F11),"0")</f>
        <v>0</v>
      </c>
      <c r="P11" s="68">
        <f>0.06*0.6*I11</f>
        <v>1.0799999999999998</v>
      </c>
      <c r="Q11" s="68">
        <f>(((PI()*(L11^2))/4)*G11)*F11</f>
        <v>5.657222970951819</v>
      </c>
      <c r="R11" s="68">
        <f>(N11+O11)-(P11+Q11)</f>
        <v>20.763777029048182</v>
      </c>
      <c r="S11" s="113">
        <f>IF(J11&lt;=1.5,0,(F11*2)*J11)</f>
        <v>0</v>
      </c>
      <c r="T11" s="181"/>
      <c r="U11" s="181"/>
      <c r="V11" s="181"/>
      <c r="W11" s="182"/>
    </row>
    <row r="12" spans="1:23" s="50" customFormat="1" ht="15">
      <c r="A12" s="115" t="str">
        <f>Drenagem!A10</f>
        <v>CL 9 </v>
      </c>
      <c r="B12" s="111" t="str">
        <f>Drenagem!B10</f>
        <v>CL 10</v>
      </c>
      <c r="C12" s="139"/>
      <c r="D12" s="64">
        <f>E11</f>
        <v>1.16</v>
      </c>
      <c r="E12" s="64">
        <v>1.13</v>
      </c>
      <c r="F12" s="64">
        <f>Drenagem!E10</f>
        <v>40</v>
      </c>
      <c r="G12" s="64">
        <v>1</v>
      </c>
      <c r="H12" s="64">
        <f>Drenagem!M10</f>
        <v>0.4</v>
      </c>
      <c r="I12" s="64">
        <f>G12*F12</f>
        <v>40</v>
      </c>
      <c r="J12" s="64">
        <f>AVERAGE(D12:E12)</f>
        <v>1.145</v>
      </c>
      <c r="K12" s="64">
        <f>IF(H12=0.4,0.2,IF(H12=0.6,0.35,IF(H12=0.8,0.4,IF(H12=1,0.45,IF(H12=1.2,0.5,IF(H12=1.5,0.6))))))</f>
        <v>0.2</v>
      </c>
      <c r="L12" s="67">
        <f>IF(H12=0.4,0.49,IF(H12=0.6,0.72,IF(H12=0.8,0.95,IF(H12=1,1.16,IF(H12=1.2,1.4,IF(H12=1.5,1.7))))))</f>
        <v>0.49</v>
      </c>
      <c r="M12" s="64">
        <f>IF(G12=1,(L12*G12)+(K12*2),((L12*G12)+(K12*2)+0.3))</f>
        <v>0.89</v>
      </c>
      <c r="N12" s="64">
        <f>IF(J12&lt;=1.5,F12*J12*M12,F12*1.5*M12)</f>
        <v>40.762</v>
      </c>
      <c r="O12" s="130" t="str">
        <f>IF(J12&gt;1.5,((J12-1.5)*M12*F12),"0")</f>
        <v>0</v>
      </c>
      <c r="P12" s="64">
        <f>0.06*0.6*I12</f>
        <v>1.44</v>
      </c>
      <c r="Q12" s="64">
        <f>(((PI()*(L12^2))/4)*G12)*F12</f>
        <v>7.542963961269092</v>
      </c>
      <c r="R12" s="64">
        <f>(N12+O12)-(P12+Q12)</f>
        <v>31.779036038730908</v>
      </c>
      <c r="S12" s="114">
        <f>IF(J12&lt;=1.5,0,(F12*2)*J12)</f>
        <v>0</v>
      </c>
      <c r="T12" s="181"/>
      <c r="U12" s="181"/>
      <c r="V12" s="181"/>
      <c r="W12" s="182"/>
    </row>
    <row r="13" spans="1:23" s="50" customFormat="1" ht="15">
      <c r="A13" s="115" t="str">
        <f>Drenagem!A11</f>
        <v>CL 10</v>
      </c>
      <c r="B13" s="111">
        <f>Drenagem!B11</f>
        <v>11</v>
      </c>
      <c r="C13" s="139"/>
      <c r="D13" s="64">
        <f>E12</f>
        <v>1.13</v>
      </c>
      <c r="E13" s="64">
        <v>0.9</v>
      </c>
      <c r="F13" s="64">
        <f>Drenagem!E11</f>
        <v>27</v>
      </c>
      <c r="G13" s="64">
        <v>1</v>
      </c>
      <c r="H13" s="64">
        <f>Drenagem!M11</f>
        <v>0.4</v>
      </c>
      <c r="I13" s="64">
        <f>G13*F13</f>
        <v>27</v>
      </c>
      <c r="J13" s="64">
        <f>AVERAGE(D13:E13)</f>
        <v>1.015</v>
      </c>
      <c r="K13" s="64">
        <f>IF(H13=0.4,0.2,IF(H13=0.6,0.35,IF(H13=0.8,0.4,IF(H13=1,0.45,IF(H13=1.2,0.5,IF(H13=1.5,0.6))))))</f>
        <v>0.2</v>
      </c>
      <c r="L13" s="67">
        <f>IF(H13=0.4,0.49,IF(H13=0.6,0.72,IF(H13=0.8,0.95,IF(H13=1,1.16,IF(H13=1.2,1.4,IF(H13=1.5,1.7))))))</f>
        <v>0.49</v>
      </c>
      <c r="M13" s="64">
        <f>IF(G13=1,(L13*G13)+(K13*2),((L13*G13)+(K13*2)+0.3))</f>
        <v>0.89</v>
      </c>
      <c r="N13" s="64">
        <f>IF(J13&lt;=1.5,F13*J13*M13,F13*1.5*M13)</f>
        <v>24.390449999999998</v>
      </c>
      <c r="O13" s="130" t="str">
        <f>IF(J13&gt;1.5,((J13-1.5)*M13*F13),"0")</f>
        <v>0</v>
      </c>
      <c r="P13" s="64">
        <f>0.06*0.6*I13</f>
        <v>0.972</v>
      </c>
      <c r="Q13" s="64">
        <f>(((PI()*(L13^2))/4)*G13)*F13</f>
        <v>5.091500673856637</v>
      </c>
      <c r="R13" s="64">
        <f>(N13+O13)-(P13+Q13)</f>
        <v>18.32694932614336</v>
      </c>
      <c r="S13" s="114">
        <f>IF(J13&lt;=1.5,0,(F13*2)*J13)</f>
        <v>0</v>
      </c>
      <c r="T13" s="181"/>
      <c r="U13" s="181"/>
      <c r="V13" s="181"/>
      <c r="W13" s="182"/>
    </row>
    <row r="14" spans="1:23" s="50" customFormat="1" ht="15">
      <c r="A14" s="115"/>
      <c r="B14" s="111"/>
      <c r="C14" s="139"/>
      <c r="D14" s="64"/>
      <c r="E14" s="64"/>
      <c r="F14" s="64"/>
      <c r="G14" s="64"/>
      <c r="H14" s="64"/>
      <c r="I14" s="64"/>
      <c r="J14" s="64"/>
      <c r="K14" s="64"/>
      <c r="L14" s="67"/>
      <c r="M14" s="64"/>
      <c r="N14" s="64"/>
      <c r="O14" s="130"/>
      <c r="P14" s="64"/>
      <c r="Q14" s="64"/>
      <c r="R14" s="64"/>
      <c r="S14" s="114"/>
      <c r="T14" s="181"/>
      <c r="U14" s="181"/>
      <c r="V14" s="181"/>
      <c r="W14" s="182"/>
    </row>
    <row r="15" spans="1:23" s="50" customFormat="1" ht="15">
      <c r="A15" s="115">
        <f>Drenagem!A13</f>
        <v>12</v>
      </c>
      <c r="B15" s="111">
        <f>Drenagem!B13</f>
        <v>13</v>
      </c>
      <c r="C15" s="139"/>
      <c r="D15" s="64">
        <v>0.9</v>
      </c>
      <c r="E15" s="64">
        <v>0.91</v>
      </c>
      <c r="F15" s="64">
        <f>Drenagem!E13</f>
        <v>28</v>
      </c>
      <c r="G15" s="64">
        <v>1</v>
      </c>
      <c r="H15" s="64">
        <f>Drenagem!M13</f>
        <v>0.4</v>
      </c>
      <c r="I15" s="64">
        <f>G15*F15</f>
        <v>28</v>
      </c>
      <c r="J15" s="64">
        <f>AVERAGE(D15:E15)</f>
        <v>0.905</v>
      </c>
      <c r="K15" s="64">
        <f>IF(H15=0.4,0.2,IF(H15=0.6,0.35,IF(H15=0.8,0.4,IF(H15=1,0.45,IF(H15=1.2,0.5,IF(H15=1.5,0.6))))))</f>
        <v>0.2</v>
      </c>
      <c r="L15" s="67">
        <f>IF(H15=0.4,0.49,IF(H15=0.6,0.72,IF(H15=0.8,0.95,IF(H15=1,1.16,IF(H15=1.2,1.4,IF(H15=1.5,1.7))))))</f>
        <v>0.49</v>
      </c>
      <c r="M15" s="64">
        <f>IF(G15=1,(L15*G15)+(K15*2),((L15*G15)+(K15*2)+0.3))</f>
        <v>0.89</v>
      </c>
      <c r="N15" s="64">
        <f>IF(J15&lt;=1.5,F15*J15*M15,F15*1.5*M15)</f>
        <v>22.5526</v>
      </c>
      <c r="O15" s="130" t="str">
        <f>IF(J15&gt;1.5,((J15-1.5)*M15*F15),"0")</f>
        <v>0</v>
      </c>
      <c r="P15" s="64">
        <f>0.06*0.6*I15</f>
        <v>1.008</v>
      </c>
      <c r="Q15" s="64">
        <f>(((PI()*(L15^2))/4)*G15)*F15</f>
        <v>5.280074772888365</v>
      </c>
      <c r="R15" s="64">
        <f>(N15+O15)-(P15+Q15)</f>
        <v>16.264525227111637</v>
      </c>
      <c r="S15" s="114">
        <f>IF(J15&lt;=1.5,0,(F15*2)*J15)</f>
        <v>0</v>
      </c>
      <c r="T15" s="181"/>
      <c r="U15" s="181"/>
      <c r="V15" s="181"/>
      <c r="W15" s="182"/>
    </row>
    <row r="16" spans="1:23" s="50" customFormat="1" ht="15">
      <c r="A16" s="115"/>
      <c r="B16" s="111"/>
      <c r="C16" s="139"/>
      <c r="D16" s="64"/>
      <c r="E16" s="64"/>
      <c r="F16" s="64"/>
      <c r="G16" s="64"/>
      <c r="H16" s="64"/>
      <c r="I16" s="64"/>
      <c r="J16" s="64"/>
      <c r="K16" s="64"/>
      <c r="L16" s="67"/>
      <c r="M16" s="64"/>
      <c r="N16" s="64"/>
      <c r="O16" s="130"/>
      <c r="P16" s="64"/>
      <c r="Q16" s="64"/>
      <c r="R16" s="64"/>
      <c r="S16" s="114"/>
      <c r="T16" s="181"/>
      <c r="U16" s="181"/>
      <c r="V16" s="181"/>
      <c r="W16" s="182"/>
    </row>
    <row r="17" spans="1:23" s="50" customFormat="1" ht="15">
      <c r="A17" s="115">
        <f>Drenagem!A15</f>
        <v>14</v>
      </c>
      <c r="B17" s="111">
        <f>Drenagem!B15</f>
        <v>15</v>
      </c>
      <c r="C17" s="139"/>
      <c r="D17" s="64">
        <v>0.9</v>
      </c>
      <c r="E17" s="64">
        <v>0.9</v>
      </c>
      <c r="F17" s="64">
        <f>Drenagem!E15</f>
        <v>40</v>
      </c>
      <c r="G17" s="64">
        <v>1</v>
      </c>
      <c r="H17" s="64">
        <f>Drenagem!M15</f>
        <v>0.4</v>
      </c>
      <c r="I17" s="64">
        <f>G17*F17</f>
        <v>40</v>
      </c>
      <c r="J17" s="64">
        <f>AVERAGE(D17:E17)</f>
        <v>0.9</v>
      </c>
      <c r="K17" s="64">
        <f>IF(H17=0.4,0.2,IF(H17=0.6,0.35,IF(H17=0.8,0.4,IF(H17=1,0.45,IF(H17=1.2,0.5,IF(H17=1.5,0.6))))))</f>
        <v>0.2</v>
      </c>
      <c r="L17" s="67">
        <f>IF(H17=0.4,0.49,IF(H17=0.6,0.72,IF(H17=0.8,0.95,IF(H17=1,1.16,IF(H17=1.2,1.4,IF(H17=1.5,1.7))))))</f>
        <v>0.49</v>
      </c>
      <c r="M17" s="64">
        <f>IF(G17=1,(L17*G17)+(K17*2),((L17*G17)+(K17*2)+0.3))</f>
        <v>0.89</v>
      </c>
      <c r="N17" s="64">
        <f>IF(J17&lt;=1.5,F17*J17*M17,F17*1.5*M17)</f>
        <v>32.04</v>
      </c>
      <c r="O17" s="130" t="str">
        <f>IF(J17&gt;1.5,((J17-1.5)*M17*F17),"0")</f>
        <v>0</v>
      </c>
      <c r="P17" s="64">
        <f>0.06*0.6*I17</f>
        <v>1.44</v>
      </c>
      <c r="Q17" s="64">
        <f>(((PI()*(L17^2))/4)*G17)*F17</f>
        <v>7.542963961269092</v>
      </c>
      <c r="R17" s="64">
        <f>(N17+O17)-(P17+Q17)</f>
        <v>23.057036038730907</v>
      </c>
      <c r="S17" s="114">
        <f>IF(J17&lt;=1.5,0,(F17*2)*J17)</f>
        <v>0</v>
      </c>
      <c r="T17" s="181"/>
      <c r="U17" s="181"/>
      <c r="V17" s="181"/>
      <c r="W17" s="182"/>
    </row>
    <row r="18" spans="1:23" s="50" customFormat="1" ht="15">
      <c r="A18" s="115"/>
      <c r="B18" s="111"/>
      <c r="C18" s="139"/>
      <c r="D18" s="64"/>
      <c r="E18" s="64"/>
      <c r="F18" s="64"/>
      <c r="G18" s="64"/>
      <c r="H18" s="64"/>
      <c r="I18" s="64"/>
      <c r="J18" s="64"/>
      <c r="K18" s="64"/>
      <c r="L18" s="67"/>
      <c r="M18" s="64"/>
      <c r="N18" s="64"/>
      <c r="O18" s="130"/>
      <c r="P18" s="64"/>
      <c r="Q18" s="64"/>
      <c r="R18" s="64"/>
      <c r="S18" s="114"/>
      <c r="T18" s="181"/>
      <c r="U18" s="181"/>
      <c r="V18" s="181"/>
      <c r="W18" s="182"/>
    </row>
    <row r="19" spans="1:23" s="50" customFormat="1" ht="15">
      <c r="A19" s="115">
        <f>Drenagem!A17</f>
        <v>16</v>
      </c>
      <c r="B19" s="111" t="str">
        <f>Drenagem!B17</f>
        <v>CL 11</v>
      </c>
      <c r="C19" s="139"/>
      <c r="D19" s="64">
        <v>0.9</v>
      </c>
      <c r="E19" s="64">
        <v>0.9</v>
      </c>
      <c r="F19" s="64">
        <f>Drenagem!E17</f>
        <v>40</v>
      </c>
      <c r="G19" s="64">
        <v>1</v>
      </c>
      <c r="H19" s="64">
        <f>Drenagem!M17</f>
        <v>0.4</v>
      </c>
      <c r="I19" s="64">
        <f>G19*F19</f>
        <v>40</v>
      </c>
      <c r="J19" s="64">
        <f>AVERAGE(D19:E19)</f>
        <v>0.9</v>
      </c>
      <c r="K19" s="64">
        <f>IF(H19=0.4,0.2,IF(H19=0.6,0.35,IF(H19=0.8,0.4,IF(H19=1,0.45,IF(H19=1.2,0.5,IF(H19=1.5,0.6))))))</f>
        <v>0.2</v>
      </c>
      <c r="L19" s="67">
        <f>IF(H19=0.4,0.49,IF(H19=0.6,0.72,IF(H19=0.8,0.95,IF(H19=1,1.16,IF(H19=1.2,1.4,IF(H19=1.5,1.7))))))</f>
        <v>0.49</v>
      </c>
      <c r="M19" s="64">
        <f>IF(G19=1,(L19*G19)+(K19*2),((L19*G19)+(K19*2)+0.3))</f>
        <v>0.89</v>
      </c>
      <c r="N19" s="64">
        <f>IF(J19&lt;=1.5,F19*J19*M19,F19*1.5*M19)</f>
        <v>32.04</v>
      </c>
      <c r="O19" s="130" t="str">
        <f>IF(J19&gt;1.5,((J19-1.5)*M19*F19),"0")</f>
        <v>0</v>
      </c>
      <c r="P19" s="64">
        <f>0.06*0.6*I19</f>
        <v>1.44</v>
      </c>
      <c r="Q19" s="64">
        <f>(((PI()*(L19^2))/4)*G19)*F19</f>
        <v>7.542963961269092</v>
      </c>
      <c r="R19" s="64">
        <f>(N19+O19)-(P19+Q19)</f>
        <v>23.057036038730907</v>
      </c>
      <c r="S19" s="114">
        <f>IF(J19&lt;=1.5,0,(F19*2)*J19)</f>
        <v>0</v>
      </c>
      <c r="T19" s="181"/>
      <c r="U19" s="181"/>
      <c r="V19" s="181"/>
      <c r="W19" s="182"/>
    </row>
    <row r="20" spans="1:23" s="50" customFormat="1" ht="15">
      <c r="A20" s="115" t="str">
        <f>Drenagem!A18</f>
        <v>CL 11</v>
      </c>
      <c r="B20" s="111" t="str">
        <f>Drenagem!B18</f>
        <v>CL 12</v>
      </c>
      <c r="C20" s="139"/>
      <c r="D20" s="64">
        <f>E19</f>
        <v>0.9</v>
      </c>
      <c r="E20" s="64">
        <v>0.9</v>
      </c>
      <c r="F20" s="64">
        <f>Drenagem!E18</f>
        <v>40</v>
      </c>
      <c r="G20" s="64">
        <v>1</v>
      </c>
      <c r="H20" s="64">
        <f>Drenagem!M18</f>
        <v>0.4</v>
      </c>
      <c r="I20" s="64">
        <f>G20*F20</f>
        <v>40</v>
      </c>
      <c r="J20" s="64">
        <f>AVERAGE(D20:E20)</f>
        <v>0.9</v>
      </c>
      <c r="K20" s="64">
        <f>IF(H20=0.4,0.2,IF(H20=0.6,0.35,IF(H20=0.8,0.4,IF(H20=1,0.45,IF(H20=1.2,0.5,IF(H20=1.5,0.6))))))</f>
        <v>0.2</v>
      </c>
      <c r="L20" s="67">
        <f>IF(H20=0.4,0.49,IF(H20=0.6,0.72,IF(H20=0.8,0.95,IF(H20=1,1.16,IF(H20=1.2,1.4,IF(H20=1.5,1.7))))))</f>
        <v>0.49</v>
      </c>
      <c r="M20" s="64">
        <f>IF(G20=1,(L20*G20)+(K20*2),((L20*G20)+(K20*2)+0.3))</f>
        <v>0.89</v>
      </c>
      <c r="N20" s="64">
        <f>IF(J20&lt;=1.5,F20*J20*M20,F20*1.5*M20)</f>
        <v>32.04</v>
      </c>
      <c r="O20" s="130" t="str">
        <f>IF(J20&gt;1.5,((J20-1.5)*M20*F20),"0")</f>
        <v>0</v>
      </c>
      <c r="P20" s="64">
        <f>0.06*0.6*I20</f>
        <v>1.44</v>
      </c>
      <c r="Q20" s="64">
        <f>(((PI()*(L20^2))/4)*G20)*F20</f>
        <v>7.542963961269092</v>
      </c>
      <c r="R20" s="64">
        <f>(N20+O20)-(P20+Q20)</f>
        <v>23.057036038730907</v>
      </c>
      <c r="S20" s="114">
        <f>IF(J20&lt;=1.5,0,(F20*2)*J20)</f>
        <v>0</v>
      </c>
      <c r="T20" s="181"/>
      <c r="U20" s="181"/>
      <c r="V20" s="181"/>
      <c r="W20" s="182"/>
    </row>
    <row r="21" spans="1:23" s="50" customFormat="1" ht="15">
      <c r="A21" s="115" t="str">
        <f>Drenagem!A19</f>
        <v>CL 12</v>
      </c>
      <c r="B21" s="111">
        <f>Drenagem!B19</f>
        <v>15</v>
      </c>
      <c r="C21" s="139"/>
      <c r="D21" s="64">
        <f>E20</f>
        <v>0.9</v>
      </c>
      <c r="E21" s="64">
        <v>0.9</v>
      </c>
      <c r="F21" s="64">
        <f>Drenagem!E19</f>
        <v>40</v>
      </c>
      <c r="G21" s="64">
        <v>1</v>
      </c>
      <c r="H21" s="64">
        <f>Drenagem!M19</f>
        <v>0.4</v>
      </c>
      <c r="I21" s="64">
        <f>G21*F21</f>
        <v>40</v>
      </c>
      <c r="J21" s="64">
        <f>AVERAGE(D21:E21)</f>
        <v>0.9</v>
      </c>
      <c r="K21" s="64">
        <f>IF(H21=0.4,0.2,IF(H21=0.6,0.35,IF(H21=0.8,0.4,IF(H21=1,0.45,IF(H21=1.2,0.5,IF(H21=1.5,0.6))))))</f>
        <v>0.2</v>
      </c>
      <c r="L21" s="67">
        <f>IF(H21=0.4,0.49,IF(H21=0.6,0.72,IF(H21=0.8,0.95,IF(H21=1,1.16,IF(H21=1.2,1.4,IF(H21=1.5,1.7))))))</f>
        <v>0.49</v>
      </c>
      <c r="M21" s="64">
        <f>IF(G21=1,(L21*G21)+(K21*2),((L21*G21)+(K21*2)+0.3))</f>
        <v>0.89</v>
      </c>
      <c r="N21" s="64">
        <f>IF(J21&lt;=1.5,F21*J21*M21,F21*1.5*M21)</f>
        <v>32.04</v>
      </c>
      <c r="O21" s="130" t="str">
        <f>IF(J21&gt;1.5,((J21-1.5)*M21*F21),"0")</f>
        <v>0</v>
      </c>
      <c r="P21" s="64">
        <f>0.06*0.6*I21</f>
        <v>1.44</v>
      </c>
      <c r="Q21" s="64">
        <f>(((PI()*(L21^2))/4)*G21)*F21</f>
        <v>7.542963961269092</v>
      </c>
      <c r="R21" s="64">
        <f>(N21+O21)-(P21+Q21)</f>
        <v>23.057036038730907</v>
      </c>
      <c r="S21" s="114">
        <f>IF(J21&lt;=1.5,0,(F21*2)*J21)</f>
        <v>0</v>
      </c>
      <c r="T21" s="181"/>
      <c r="U21" s="181"/>
      <c r="V21" s="181"/>
      <c r="W21" s="182"/>
    </row>
    <row r="22" spans="1:23" s="50" customFormat="1" ht="15">
      <c r="A22" s="115"/>
      <c r="B22" s="111"/>
      <c r="C22" s="139"/>
      <c r="D22" s="64"/>
      <c r="E22" s="64"/>
      <c r="F22" s="64"/>
      <c r="G22" s="64"/>
      <c r="H22" s="64"/>
      <c r="I22" s="64"/>
      <c r="J22" s="64"/>
      <c r="K22" s="64"/>
      <c r="L22" s="67"/>
      <c r="M22" s="64"/>
      <c r="N22" s="64"/>
      <c r="O22" s="130"/>
      <c r="P22" s="64"/>
      <c r="Q22" s="64"/>
      <c r="R22" s="64"/>
      <c r="S22" s="114"/>
      <c r="T22" s="181"/>
      <c r="U22" s="181"/>
      <c r="V22" s="181"/>
      <c r="W22" s="182"/>
    </row>
    <row r="23" spans="1:23" s="50" customFormat="1" ht="15">
      <c r="A23" s="115"/>
      <c r="B23" s="111"/>
      <c r="C23" s="139"/>
      <c r="D23" s="64"/>
      <c r="E23" s="64"/>
      <c r="F23" s="64"/>
      <c r="G23" s="64"/>
      <c r="H23" s="64"/>
      <c r="I23" s="64"/>
      <c r="J23" s="64"/>
      <c r="K23" s="64"/>
      <c r="L23" s="67"/>
      <c r="M23" s="64"/>
      <c r="N23" s="64"/>
      <c r="O23" s="130"/>
      <c r="P23" s="64"/>
      <c r="Q23" s="64"/>
      <c r="R23" s="64"/>
      <c r="S23" s="114"/>
      <c r="T23" s="181"/>
      <c r="U23" s="181"/>
      <c r="V23" s="181"/>
      <c r="W23" s="182"/>
    </row>
    <row r="24" spans="1:23" s="50" customFormat="1" ht="15">
      <c r="A24" s="115"/>
      <c r="B24" s="111"/>
      <c r="C24" s="139"/>
      <c r="D24" s="64"/>
      <c r="E24" s="64"/>
      <c r="F24" s="64"/>
      <c r="G24" s="64"/>
      <c r="H24" s="64"/>
      <c r="I24" s="64"/>
      <c r="J24" s="64"/>
      <c r="K24" s="64"/>
      <c r="L24" s="67"/>
      <c r="M24" s="64"/>
      <c r="N24" s="64"/>
      <c r="O24" s="130"/>
      <c r="P24" s="64"/>
      <c r="Q24" s="64"/>
      <c r="R24" s="64"/>
      <c r="S24" s="114"/>
      <c r="T24" s="181"/>
      <c r="U24" s="181"/>
      <c r="V24" s="181"/>
      <c r="W24" s="182"/>
    </row>
    <row r="25" spans="1:23" s="50" customFormat="1" ht="15">
      <c r="A25" s="115"/>
      <c r="B25" s="111"/>
      <c r="C25" s="139"/>
      <c r="D25" s="64"/>
      <c r="E25" s="64"/>
      <c r="F25" s="64"/>
      <c r="G25" s="64"/>
      <c r="H25" s="64"/>
      <c r="I25" s="64"/>
      <c r="J25" s="64"/>
      <c r="K25" s="64"/>
      <c r="L25" s="67"/>
      <c r="M25" s="64"/>
      <c r="N25" s="64"/>
      <c r="O25" s="130"/>
      <c r="P25" s="64"/>
      <c r="Q25" s="64"/>
      <c r="R25" s="64"/>
      <c r="S25" s="114"/>
      <c r="T25" s="181"/>
      <c r="U25" s="181"/>
      <c r="V25" s="181"/>
      <c r="W25" s="182"/>
    </row>
    <row r="26" spans="1:23" s="50" customFormat="1" ht="15.75" thickBot="1">
      <c r="A26" s="379"/>
      <c r="B26" s="380"/>
      <c r="C26" s="381"/>
      <c r="D26" s="382"/>
      <c r="E26" s="382"/>
      <c r="F26" s="382"/>
      <c r="G26" s="382"/>
      <c r="H26" s="382"/>
      <c r="I26" s="382"/>
      <c r="J26" s="382"/>
      <c r="K26" s="382"/>
      <c r="L26" s="383"/>
      <c r="M26" s="382"/>
      <c r="N26" s="382"/>
      <c r="O26" s="384"/>
      <c r="P26" s="382"/>
      <c r="Q26" s="382"/>
      <c r="R26" s="382"/>
      <c r="S26" s="385"/>
      <c r="T26" s="181"/>
      <c r="U26" s="181"/>
      <c r="V26" s="181"/>
      <c r="W26" s="182"/>
    </row>
    <row r="27" spans="1:23" s="51" customFormat="1" ht="19.5" thickBot="1">
      <c r="A27" s="783" t="s">
        <v>5</v>
      </c>
      <c r="B27" s="784"/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5"/>
      <c r="N27" s="378">
        <f>ROUNDUP(SUM(N11:N26)+N8,0)</f>
        <v>327</v>
      </c>
      <c r="O27" s="378">
        <f>ROUNDUP(SUM(O11:O26)+O8,0)</f>
        <v>0</v>
      </c>
      <c r="P27" s="378">
        <f>ROUNDUP(SUM(P11:P26),0)</f>
        <v>11</v>
      </c>
      <c r="Q27" s="378">
        <f>ROUNDUP(SUM(Q11:Q26)+Q8,0)</f>
        <v>68</v>
      </c>
      <c r="R27" s="378">
        <f>ROUNDUP(SUM(R11:R26)+R8,0)</f>
        <v>250</v>
      </c>
      <c r="S27" s="378">
        <f>ROUNDUP(SUM(S11:S26),0)</f>
        <v>0</v>
      </c>
      <c r="T27" s="183"/>
      <c r="U27" s="184"/>
      <c r="V27" s="184"/>
      <c r="W27" s="185"/>
    </row>
    <row r="28" spans="1:23" s="51" customFormat="1" ht="19.5" thickBot="1">
      <c r="A28" s="781" t="s">
        <v>99</v>
      </c>
      <c r="B28" s="782"/>
      <c r="C28" s="782"/>
      <c r="D28" s="782"/>
      <c r="E28" s="782"/>
      <c r="F28" s="782"/>
      <c r="G28" s="69" t="s">
        <v>32</v>
      </c>
      <c r="H28" s="748"/>
      <c r="I28" s="16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1:23" ht="19.5" thickBot="1">
      <c r="A29" s="757" t="s">
        <v>100</v>
      </c>
      <c r="B29" s="758"/>
      <c r="C29" s="758"/>
      <c r="D29" s="758"/>
      <c r="E29" s="758"/>
      <c r="F29" s="54">
        <f>F8</f>
        <v>116</v>
      </c>
      <c r="G29" s="55" t="s">
        <v>50</v>
      </c>
      <c r="H29" s="749"/>
      <c r="I29" s="762" t="s">
        <v>306</v>
      </c>
      <c r="J29" s="763"/>
      <c r="K29" s="763"/>
      <c r="L29" s="763"/>
      <c r="M29" s="235">
        <f>(SUMIF(H$11:H$26,0.4,J$11:J$26))</f>
        <v>7.695000000000001</v>
      </c>
      <c r="N29" s="760">
        <v>0.96</v>
      </c>
      <c r="O29" s="166"/>
      <c r="P29" s="166"/>
      <c r="Q29" s="166"/>
      <c r="R29" s="166"/>
      <c r="S29" s="166"/>
      <c r="T29" s="166"/>
      <c r="U29" s="166"/>
      <c r="V29" s="166"/>
      <c r="W29" s="167"/>
    </row>
    <row r="30" spans="1:23" ht="19.5" thickBot="1">
      <c r="A30" s="753" t="s">
        <v>101</v>
      </c>
      <c r="B30" s="725"/>
      <c r="C30" s="725"/>
      <c r="D30" s="725"/>
      <c r="E30" s="725"/>
      <c r="F30" s="56">
        <f>SUMIF($H$11:$H$26,0.4,$I$11:$I$26)</f>
        <v>285</v>
      </c>
      <c r="G30" s="57" t="s">
        <v>50</v>
      </c>
      <c r="H30" s="749"/>
      <c r="I30" s="764"/>
      <c r="J30" s="765"/>
      <c r="K30" s="765"/>
      <c r="L30" s="765"/>
      <c r="M30" s="236">
        <f>SUMIF(H$11:H$26,0.6,J$11:J$26)</f>
        <v>0</v>
      </c>
      <c r="N30" s="761"/>
      <c r="O30" s="766" t="s">
        <v>231</v>
      </c>
      <c r="P30" s="767"/>
      <c r="Q30" s="768"/>
      <c r="R30" s="162">
        <f>IF(N29&lt;=1.5,0,N29-1.5)</f>
        <v>0</v>
      </c>
      <c r="S30" s="799" t="s">
        <v>232</v>
      </c>
      <c r="T30" s="767"/>
      <c r="U30" s="767"/>
      <c r="V30" s="768"/>
      <c r="W30" s="162">
        <f>N29+0.2</f>
        <v>1.16</v>
      </c>
    </row>
    <row r="31" spans="1:25" ht="18.75">
      <c r="A31" s="753" t="s">
        <v>209</v>
      </c>
      <c r="B31" s="725"/>
      <c r="C31" s="725"/>
      <c r="D31" s="725"/>
      <c r="E31" s="725"/>
      <c r="F31" s="56">
        <f>SUMIF($H$11:$H$26,0.6,$I$11:$I$26)</f>
        <v>0</v>
      </c>
      <c r="G31" s="57" t="s">
        <v>50</v>
      </c>
      <c r="H31" s="749"/>
      <c r="I31" s="766" t="s">
        <v>247</v>
      </c>
      <c r="J31" s="767"/>
      <c r="K31" s="767"/>
      <c r="L31" s="767"/>
      <c r="M31" s="161">
        <f>SUMIF(H$11:H$26,0.8,J$11:J$26)</f>
        <v>0</v>
      </c>
      <c r="N31" s="162"/>
      <c r="O31" s="732" t="s">
        <v>231</v>
      </c>
      <c r="P31" s="733"/>
      <c r="Q31" s="734"/>
      <c r="R31" s="158">
        <f>IF(N31&lt;=1.5,0,N31-1.5)</f>
        <v>0</v>
      </c>
      <c r="S31" s="732" t="s">
        <v>232</v>
      </c>
      <c r="T31" s="733"/>
      <c r="U31" s="733"/>
      <c r="V31" s="734"/>
      <c r="W31" s="162"/>
      <c r="Y31" s="23">
        <f>2*PI()*0.2</f>
        <v>1.2566370614359172</v>
      </c>
    </row>
    <row r="32" spans="1:23" ht="18.75">
      <c r="A32" s="753" t="s">
        <v>243</v>
      </c>
      <c r="B32" s="725"/>
      <c r="C32" s="725"/>
      <c r="D32" s="725"/>
      <c r="E32" s="725"/>
      <c r="F32" s="56">
        <f>SUMIF($H$11:$H$26,0.8,$I$11:$I$26)</f>
        <v>0</v>
      </c>
      <c r="G32" s="57" t="s">
        <v>50</v>
      </c>
      <c r="H32" s="749"/>
      <c r="I32" s="756" t="s">
        <v>248</v>
      </c>
      <c r="J32" s="733"/>
      <c r="K32" s="733"/>
      <c r="L32" s="733"/>
      <c r="M32" s="156">
        <f>SUMIF(H$11:H$26,1,J$11:J$26)</f>
        <v>0</v>
      </c>
      <c r="N32" s="158">
        <v>0</v>
      </c>
      <c r="O32" s="732" t="s">
        <v>231</v>
      </c>
      <c r="P32" s="733"/>
      <c r="Q32" s="734"/>
      <c r="R32" s="158">
        <f>IF(N32&lt;=1.5,0,N32-1.5)</f>
        <v>0</v>
      </c>
      <c r="S32" s="732" t="s">
        <v>232</v>
      </c>
      <c r="T32" s="733"/>
      <c r="U32" s="733"/>
      <c r="V32" s="734"/>
      <c r="W32" s="162">
        <v>0</v>
      </c>
    </row>
    <row r="33" spans="1:25" ht="18.75">
      <c r="A33" s="753" t="s">
        <v>244</v>
      </c>
      <c r="B33" s="725"/>
      <c r="C33" s="725"/>
      <c r="D33" s="725"/>
      <c r="E33" s="725"/>
      <c r="F33" s="56">
        <f>SUMIF($H$11:$H$26,1,$I$11:$I$26)</f>
        <v>0</v>
      </c>
      <c r="G33" s="57" t="s">
        <v>50</v>
      </c>
      <c r="H33" s="749"/>
      <c r="I33" s="756" t="s">
        <v>249</v>
      </c>
      <c r="J33" s="733"/>
      <c r="K33" s="733"/>
      <c r="L33" s="733"/>
      <c r="M33" s="156">
        <f>SUMIF(H$11:H$26,1.2,J$11:J$26)</f>
        <v>0</v>
      </c>
      <c r="N33" s="158">
        <f>IF(F42=0,0,M33/(F42+F43))</f>
        <v>0</v>
      </c>
      <c r="O33" s="732" t="s">
        <v>231</v>
      </c>
      <c r="P33" s="733"/>
      <c r="Q33" s="734"/>
      <c r="R33" s="158">
        <f>IF(N33&lt;=1.5,0,N33-1.5)</f>
        <v>0</v>
      </c>
      <c r="S33" s="732" t="s">
        <v>232</v>
      </c>
      <c r="T33" s="733"/>
      <c r="U33" s="733"/>
      <c r="V33" s="734"/>
      <c r="W33" s="162">
        <f>N33</f>
        <v>0</v>
      </c>
      <c r="X33" s="126"/>
      <c r="Y33" s="128"/>
    </row>
    <row r="34" spans="1:25" ht="19.5" thickBot="1">
      <c r="A34" s="753" t="s">
        <v>245</v>
      </c>
      <c r="B34" s="725"/>
      <c r="C34" s="725"/>
      <c r="D34" s="725"/>
      <c r="E34" s="725"/>
      <c r="F34" s="56">
        <f>SUMIF($H$11:$H$26,1.2,$I$11:$I$26)</f>
        <v>0</v>
      </c>
      <c r="G34" s="57" t="s">
        <v>50</v>
      </c>
      <c r="H34" s="749"/>
      <c r="I34" s="759" t="s">
        <v>250</v>
      </c>
      <c r="J34" s="736"/>
      <c r="K34" s="736"/>
      <c r="L34" s="736"/>
      <c r="M34" s="157"/>
      <c r="N34" s="159">
        <f>IF(F44=0,0,M34/(F44+F45))</f>
        <v>0</v>
      </c>
      <c r="O34" s="735" t="s">
        <v>231</v>
      </c>
      <c r="P34" s="736"/>
      <c r="Q34" s="737"/>
      <c r="R34" s="159">
        <f>IF(N34&lt;=1.5,0,N34-1.5)</f>
        <v>0</v>
      </c>
      <c r="S34" s="735" t="s">
        <v>232</v>
      </c>
      <c r="T34" s="736"/>
      <c r="U34" s="736"/>
      <c r="V34" s="737"/>
      <c r="W34" s="162"/>
      <c r="X34" s="126"/>
      <c r="Y34" s="128"/>
    </row>
    <row r="35" spans="1:25" ht="19.5" thickBot="1">
      <c r="A35" s="772" t="s">
        <v>246</v>
      </c>
      <c r="B35" s="773"/>
      <c r="C35" s="773"/>
      <c r="D35" s="773"/>
      <c r="E35" s="773"/>
      <c r="F35" s="140">
        <f>SUMIF($H$11:$H$26,1.5,$I$11:$I$26)</f>
        <v>0</v>
      </c>
      <c r="G35" s="127" t="s">
        <v>50</v>
      </c>
      <c r="H35" s="749"/>
      <c r="I35" s="741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3"/>
      <c r="X35" s="126"/>
      <c r="Y35" s="128"/>
    </row>
    <row r="36" spans="1:23" ht="18.75">
      <c r="A36" s="770" t="s">
        <v>300</v>
      </c>
      <c r="B36" s="771"/>
      <c r="C36" s="771"/>
      <c r="D36" s="771"/>
      <c r="E36" s="771"/>
      <c r="F36" s="160">
        <v>7</v>
      </c>
      <c r="G36" s="146" t="s">
        <v>4</v>
      </c>
      <c r="H36" s="749"/>
      <c r="I36" s="754" t="s">
        <v>302</v>
      </c>
      <c r="J36" s="755"/>
      <c r="K36" s="755"/>
      <c r="L36" s="755"/>
      <c r="M36" s="755"/>
      <c r="N36" s="229"/>
      <c r="O36" s="230" t="s">
        <v>4</v>
      </c>
      <c r="P36" s="744"/>
      <c r="Q36" s="770" t="s">
        <v>304</v>
      </c>
      <c r="R36" s="771"/>
      <c r="S36" s="771"/>
      <c r="T36" s="771"/>
      <c r="U36" s="771"/>
      <c r="V36" s="233"/>
      <c r="W36" s="146" t="s">
        <v>4</v>
      </c>
    </row>
    <row r="37" spans="1:23" ht="18.75">
      <c r="A37" s="728" t="s">
        <v>301</v>
      </c>
      <c r="B37" s="727"/>
      <c r="C37" s="727"/>
      <c r="D37" s="727"/>
      <c r="E37" s="727"/>
      <c r="F37" s="132">
        <v>4</v>
      </c>
      <c r="G37" s="147" t="s">
        <v>4</v>
      </c>
      <c r="H37" s="749"/>
      <c r="I37" s="726" t="s">
        <v>303</v>
      </c>
      <c r="J37" s="727"/>
      <c r="K37" s="727"/>
      <c r="L37" s="727"/>
      <c r="M37" s="727"/>
      <c r="N37" s="231"/>
      <c r="O37" s="232" t="s">
        <v>4</v>
      </c>
      <c r="P37" s="745"/>
      <c r="Q37" s="728" t="s">
        <v>305</v>
      </c>
      <c r="R37" s="727"/>
      <c r="S37" s="727"/>
      <c r="T37" s="727"/>
      <c r="U37" s="727"/>
      <c r="V37" s="231"/>
      <c r="W37" s="147" t="s">
        <v>4</v>
      </c>
    </row>
    <row r="38" spans="1:23" ht="18.75">
      <c r="A38" s="730" t="s">
        <v>235</v>
      </c>
      <c r="B38" s="721"/>
      <c r="C38" s="721"/>
      <c r="D38" s="721"/>
      <c r="E38" s="721"/>
      <c r="F38" s="134"/>
      <c r="G38" s="149" t="s">
        <v>4</v>
      </c>
      <c r="H38" s="749"/>
      <c r="I38" s="720" t="s">
        <v>282</v>
      </c>
      <c r="J38" s="721"/>
      <c r="K38" s="721"/>
      <c r="L38" s="721"/>
      <c r="M38" s="721"/>
      <c r="N38" s="134"/>
      <c r="O38" s="149" t="s">
        <v>4</v>
      </c>
      <c r="P38" s="745"/>
      <c r="Q38" s="730" t="s">
        <v>290</v>
      </c>
      <c r="R38" s="721"/>
      <c r="S38" s="721"/>
      <c r="T38" s="721"/>
      <c r="U38" s="721"/>
      <c r="V38" s="134"/>
      <c r="W38" s="149" t="s">
        <v>4</v>
      </c>
    </row>
    <row r="39" spans="1:23" ht="18.75">
      <c r="A39" s="730" t="s">
        <v>236</v>
      </c>
      <c r="B39" s="721"/>
      <c r="C39" s="721"/>
      <c r="D39" s="721"/>
      <c r="E39" s="721"/>
      <c r="F39" s="134"/>
      <c r="G39" s="149" t="s">
        <v>4</v>
      </c>
      <c r="H39" s="749"/>
      <c r="I39" s="720" t="s">
        <v>283</v>
      </c>
      <c r="J39" s="721"/>
      <c r="K39" s="721"/>
      <c r="L39" s="721"/>
      <c r="M39" s="721"/>
      <c r="N39" s="134"/>
      <c r="O39" s="149" t="s">
        <v>4</v>
      </c>
      <c r="P39" s="745"/>
      <c r="Q39" s="730" t="s">
        <v>291</v>
      </c>
      <c r="R39" s="721"/>
      <c r="S39" s="721"/>
      <c r="T39" s="721"/>
      <c r="U39" s="721"/>
      <c r="V39" s="134"/>
      <c r="W39" s="149" t="s">
        <v>4</v>
      </c>
    </row>
    <row r="40" spans="1:23" ht="18.75">
      <c r="A40" s="729" t="s">
        <v>237</v>
      </c>
      <c r="B40" s="715"/>
      <c r="C40" s="715"/>
      <c r="D40" s="715"/>
      <c r="E40" s="715"/>
      <c r="F40" s="135"/>
      <c r="G40" s="150" t="s">
        <v>4</v>
      </c>
      <c r="H40" s="749"/>
      <c r="I40" s="714" t="s">
        <v>284</v>
      </c>
      <c r="J40" s="715"/>
      <c r="K40" s="715"/>
      <c r="L40" s="715"/>
      <c r="M40" s="715"/>
      <c r="N40" s="135"/>
      <c r="O40" s="150" t="s">
        <v>4</v>
      </c>
      <c r="P40" s="745"/>
      <c r="Q40" s="729" t="s">
        <v>292</v>
      </c>
      <c r="R40" s="715"/>
      <c r="S40" s="715"/>
      <c r="T40" s="715"/>
      <c r="U40" s="715"/>
      <c r="V40" s="135"/>
      <c r="W40" s="150" t="s">
        <v>4</v>
      </c>
    </row>
    <row r="41" spans="1:23" ht="18.75">
      <c r="A41" s="729" t="s">
        <v>238</v>
      </c>
      <c r="B41" s="715"/>
      <c r="C41" s="715"/>
      <c r="D41" s="715"/>
      <c r="E41" s="715"/>
      <c r="F41" s="135"/>
      <c r="G41" s="150" t="s">
        <v>4</v>
      </c>
      <c r="H41" s="749"/>
      <c r="I41" s="714" t="s">
        <v>285</v>
      </c>
      <c r="J41" s="715"/>
      <c r="K41" s="715"/>
      <c r="L41" s="715"/>
      <c r="M41" s="715"/>
      <c r="N41" s="135"/>
      <c r="O41" s="150" t="s">
        <v>4</v>
      </c>
      <c r="P41" s="745"/>
      <c r="Q41" s="729" t="s">
        <v>293</v>
      </c>
      <c r="R41" s="715"/>
      <c r="S41" s="715"/>
      <c r="T41" s="715"/>
      <c r="U41" s="715"/>
      <c r="V41" s="135"/>
      <c r="W41" s="150" t="s">
        <v>4</v>
      </c>
    </row>
    <row r="42" spans="1:23" ht="18.75">
      <c r="A42" s="716" t="s">
        <v>239</v>
      </c>
      <c r="B42" s="717"/>
      <c r="C42" s="717"/>
      <c r="D42" s="717"/>
      <c r="E42" s="717"/>
      <c r="F42" s="136"/>
      <c r="G42" s="151" t="s">
        <v>4</v>
      </c>
      <c r="H42" s="749"/>
      <c r="I42" s="747" t="s">
        <v>286</v>
      </c>
      <c r="J42" s="717"/>
      <c r="K42" s="717"/>
      <c r="L42" s="717"/>
      <c r="M42" s="717"/>
      <c r="N42" s="136"/>
      <c r="O42" s="151" t="s">
        <v>4</v>
      </c>
      <c r="P42" s="745"/>
      <c r="Q42" s="716" t="s">
        <v>294</v>
      </c>
      <c r="R42" s="717"/>
      <c r="S42" s="717"/>
      <c r="T42" s="717"/>
      <c r="U42" s="717"/>
      <c r="V42" s="136"/>
      <c r="W42" s="151" t="s">
        <v>4</v>
      </c>
    </row>
    <row r="43" spans="1:23" ht="18.75">
      <c r="A43" s="716" t="s">
        <v>240</v>
      </c>
      <c r="B43" s="717"/>
      <c r="C43" s="717"/>
      <c r="D43" s="717"/>
      <c r="E43" s="717"/>
      <c r="F43" s="136"/>
      <c r="G43" s="151" t="s">
        <v>4</v>
      </c>
      <c r="H43" s="749"/>
      <c r="I43" s="747" t="s">
        <v>287</v>
      </c>
      <c r="J43" s="717"/>
      <c r="K43" s="717"/>
      <c r="L43" s="717"/>
      <c r="M43" s="717"/>
      <c r="N43" s="136"/>
      <c r="O43" s="151" t="s">
        <v>4</v>
      </c>
      <c r="P43" s="745"/>
      <c r="Q43" s="716" t="s">
        <v>295</v>
      </c>
      <c r="R43" s="717"/>
      <c r="S43" s="717"/>
      <c r="T43" s="717"/>
      <c r="U43" s="717"/>
      <c r="V43" s="136"/>
      <c r="W43" s="151" t="s">
        <v>4</v>
      </c>
    </row>
    <row r="44" spans="1:23" ht="18.75">
      <c r="A44" s="731" t="s">
        <v>241</v>
      </c>
      <c r="B44" s="723"/>
      <c r="C44" s="723"/>
      <c r="D44" s="723"/>
      <c r="E44" s="723"/>
      <c r="F44" s="137"/>
      <c r="G44" s="152" t="s">
        <v>4</v>
      </c>
      <c r="H44" s="749"/>
      <c r="I44" s="722" t="s">
        <v>288</v>
      </c>
      <c r="J44" s="723"/>
      <c r="K44" s="723"/>
      <c r="L44" s="723"/>
      <c r="M44" s="723"/>
      <c r="N44" s="137"/>
      <c r="O44" s="152" t="s">
        <v>4</v>
      </c>
      <c r="P44" s="745"/>
      <c r="Q44" s="731"/>
      <c r="R44" s="723"/>
      <c r="S44" s="723"/>
      <c r="T44" s="723"/>
      <c r="U44" s="723"/>
      <c r="V44" s="137"/>
      <c r="W44" s="152"/>
    </row>
    <row r="45" spans="1:23" ht="18.75">
      <c r="A45" s="731" t="s">
        <v>242</v>
      </c>
      <c r="B45" s="723"/>
      <c r="C45" s="723"/>
      <c r="D45" s="723"/>
      <c r="E45" s="723"/>
      <c r="F45" s="137"/>
      <c r="G45" s="152" t="s">
        <v>4</v>
      </c>
      <c r="H45" s="749"/>
      <c r="I45" s="722" t="s">
        <v>289</v>
      </c>
      <c r="J45" s="723"/>
      <c r="K45" s="723"/>
      <c r="L45" s="723"/>
      <c r="M45" s="723"/>
      <c r="N45" s="137"/>
      <c r="O45" s="152" t="s">
        <v>4</v>
      </c>
      <c r="P45" s="745"/>
      <c r="Q45" s="731"/>
      <c r="R45" s="723"/>
      <c r="S45" s="723"/>
      <c r="T45" s="723"/>
      <c r="U45" s="723"/>
      <c r="V45" s="137"/>
      <c r="W45" s="152"/>
    </row>
    <row r="46" spans="1:23" ht="18.75">
      <c r="A46" s="753" t="s">
        <v>102</v>
      </c>
      <c r="B46" s="725"/>
      <c r="C46" s="725"/>
      <c r="D46" s="725"/>
      <c r="E46" s="725"/>
      <c r="F46" s="121">
        <v>26</v>
      </c>
      <c r="G46" s="57" t="s">
        <v>4</v>
      </c>
      <c r="H46" s="749"/>
      <c r="I46" s="724" t="s">
        <v>252</v>
      </c>
      <c r="J46" s="725"/>
      <c r="K46" s="725"/>
      <c r="L46" s="725"/>
      <c r="M46" s="725"/>
      <c r="N46" s="121"/>
      <c r="O46" s="57" t="s">
        <v>4</v>
      </c>
      <c r="P46" s="745"/>
      <c r="Q46" s="753"/>
      <c r="R46" s="725"/>
      <c r="S46" s="725"/>
      <c r="T46" s="725"/>
      <c r="U46" s="725"/>
      <c r="V46" s="121"/>
      <c r="W46" s="57" t="s">
        <v>4</v>
      </c>
    </row>
    <row r="47" spans="1:23" ht="18.75">
      <c r="A47" s="728" t="s">
        <v>253</v>
      </c>
      <c r="B47" s="727"/>
      <c r="C47" s="727"/>
      <c r="D47" s="727"/>
      <c r="E47" s="727"/>
      <c r="F47" s="132"/>
      <c r="G47" s="147" t="s">
        <v>4</v>
      </c>
      <c r="H47" s="749"/>
      <c r="I47" s="726" t="s">
        <v>254</v>
      </c>
      <c r="J47" s="727"/>
      <c r="K47" s="727"/>
      <c r="L47" s="727"/>
      <c r="M47" s="727"/>
      <c r="N47" s="132"/>
      <c r="O47" s="147" t="s">
        <v>4</v>
      </c>
      <c r="P47" s="745"/>
      <c r="Q47" s="728" t="s">
        <v>383</v>
      </c>
      <c r="R47" s="727"/>
      <c r="S47" s="727"/>
      <c r="T47" s="727"/>
      <c r="U47" s="727"/>
      <c r="V47" s="132"/>
      <c r="W47" s="147" t="s">
        <v>4</v>
      </c>
    </row>
    <row r="48" spans="1:23" ht="18.75">
      <c r="A48" s="738" t="s">
        <v>255</v>
      </c>
      <c r="B48" s="739"/>
      <c r="C48" s="739"/>
      <c r="D48" s="739"/>
      <c r="E48" s="739"/>
      <c r="F48" s="133"/>
      <c r="G48" s="148" t="s">
        <v>4</v>
      </c>
      <c r="H48" s="749"/>
      <c r="I48" s="740" t="s">
        <v>256</v>
      </c>
      <c r="J48" s="739"/>
      <c r="K48" s="739"/>
      <c r="L48" s="739"/>
      <c r="M48" s="739"/>
      <c r="N48" s="133"/>
      <c r="O48" s="148" t="s">
        <v>4</v>
      </c>
      <c r="P48" s="745"/>
      <c r="Q48" s="738" t="s">
        <v>296</v>
      </c>
      <c r="R48" s="739"/>
      <c r="S48" s="739"/>
      <c r="T48" s="739"/>
      <c r="U48" s="739"/>
      <c r="V48" s="133"/>
      <c r="W48" s="148" t="s">
        <v>4</v>
      </c>
    </row>
    <row r="49" spans="1:23" ht="18.75">
      <c r="A49" s="730" t="s">
        <v>257</v>
      </c>
      <c r="B49" s="721"/>
      <c r="C49" s="721"/>
      <c r="D49" s="721"/>
      <c r="E49" s="721"/>
      <c r="F49" s="134"/>
      <c r="G49" s="149" t="s">
        <v>4</v>
      </c>
      <c r="H49" s="749"/>
      <c r="I49" s="720" t="s">
        <v>258</v>
      </c>
      <c r="J49" s="721"/>
      <c r="K49" s="721"/>
      <c r="L49" s="721"/>
      <c r="M49" s="721"/>
      <c r="N49" s="134"/>
      <c r="O49" s="149" t="s">
        <v>4</v>
      </c>
      <c r="P49" s="745"/>
      <c r="Q49" s="730" t="s">
        <v>297</v>
      </c>
      <c r="R49" s="721"/>
      <c r="S49" s="721"/>
      <c r="T49" s="721"/>
      <c r="U49" s="721"/>
      <c r="V49" s="134"/>
      <c r="W49" s="149" t="s">
        <v>4</v>
      </c>
    </row>
    <row r="50" spans="1:23" ht="18.75">
      <c r="A50" s="729" t="s">
        <v>259</v>
      </c>
      <c r="B50" s="715"/>
      <c r="C50" s="715"/>
      <c r="D50" s="715"/>
      <c r="E50" s="715"/>
      <c r="F50" s="135"/>
      <c r="G50" s="150" t="s">
        <v>4</v>
      </c>
      <c r="H50" s="749"/>
      <c r="I50" s="714" t="s">
        <v>260</v>
      </c>
      <c r="J50" s="715"/>
      <c r="K50" s="715"/>
      <c r="L50" s="715"/>
      <c r="M50" s="715"/>
      <c r="N50" s="135"/>
      <c r="O50" s="150" t="s">
        <v>4</v>
      </c>
      <c r="P50" s="745"/>
      <c r="Q50" s="729" t="s">
        <v>298</v>
      </c>
      <c r="R50" s="715"/>
      <c r="S50" s="715"/>
      <c r="T50" s="715"/>
      <c r="U50" s="715"/>
      <c r="V50" s="135"/>
      <c r="W50" s="150" t="s">
        <v>4</v>
      </c>
    </row>
    <row r="51" spans="1:23" ht="19.5" thickBot="1">
      <c r="A51" s="751" t="s">
        <v>410</v>
      </c>
      <c r="B51" s="752"/>
      <c r="C51" s="752"/>
      <c r="D51" s="752"/>
      <c r="E51" s="752"/>
      <c r="F51" s="154"/>
      <c r="G51" s="155" t="s">
        <v>4</v>
      </c>
      <c r="H51" s="750"/>
      <c r="I51" s="718" t="s">
        <v>261</v>
      </c>
      <c r="J51" s="719"/>
      <c r="K51" s="719"/>
      <c r="L51" s="719"/>
      <c r="M51" s="719"/>
      <c r="N51" s="141"/>
      <c r="O51" s="153" t="s">
        <v>4</v>
      </c>
      <c r="P51" s="746"/>
      <c r="Q51" s="798" t="s">
        <v>299</v>
      </c>
      <c r="R51" s="719"/>
      <c r="S51" s="719"/>
      <c r="T51" s="719"/>
      <c r="U51" s="719"/>
      <c r="V51" s="141"/>
      <c r="W51" s="153" t="s">
        <v>4</v>
      </c>
    </row>
    <row r="52" spans="1:19" ht="15.75" thickBot="1">
      <c r="A52" s="795" t="s">
        <v>159</v>
      </c>
      <c r="B52" s="796"/>
      <c r="C52" s="796"/>
      <c r="D52" s="796"/>
      <c r="E52" s="796"/>
      <c r="F52" s="796"/>
      <c r="G52" s="796"/>
      <c r="H52" s="796"/>
      <c r="I52" s="796"/>
      <c r="J52" s="797"/>
      <c r="S52" s="125"/>
    </row>
    <row r="54" spans="1:18" ht="1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R54" s="125"/>
    </row>
    <row r="55" spans="1:10" ht="15">
      <c r="A55" s="129"/>
      <c r="B55" s="778"/>
      <c r="C55" s="778"/>
      <c r="D55" s="778"/>
      <c r="E55" s="778"/>
      <c r="F55" s="778"/>
      <c r="G55" s="778"/>
      <c r="H55" s="778"/>
      <c r="I55" s="778"/>
      <c r="J55" s="778"/>
    </row>
    <row r="56" spans="1:10" ht="15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5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79" spans="14:22" ht="18.75">
      <c r="N79" s="52"/>
      <c r="O79" s="52"/>
      <c r="P79" s="52"/>
      <c r="Q79" s="52"/>
      <c r="R79" s="52"/>
      <c r="S79" s="52"/>
      <c r="T79" s="53"/>
      <c r="U79" s="53"/>
      <c r="V79" s="53"/>
    </row>
  </sheetData>
  <sheetProtection/>
  <mergeCells count="89">
    <mergeCell ref="A1:S1"/>
    <mergeCell ref="A5:S5"/>
    <mergeCell ref="M4:S4"/>
    <mergeCell ref="P3:S3"/>
    <mergeCell ref="A52:J52"/>
    <mergeCell ref="Q50:U50"/>
    <mergeCell ref="Q51:U51"/>
    <mergeCell ref="S30:V30"/>
    <mergeCell ref="S31:V31"/>
    <mergeCell ref="S34:V34"/>
    <mergeCell ref="Q46:U46"/>
    <mergeCell ref="Q40:U40"/>
    <mergeCell ref="Q48:U48"/>
    <mergeCell ref="Q38:U38"/>
    <mergeCell ref="A2:S2"/>
    <mergeCell ref="Q49:U49"/>
    <mergeCell ref="Q42:U42"/>
    <mergeCell ref="Q43:U43"/>
    <mergeCell ref="Q44:U44"/>
    <mergeCell ref="Q45:U45"/>
    <mergeCell ref="Q41:U41"/>
    <mergeCell ref="Q47:U47"/>
    <mergeCell ref="M3:N3"/>
    <mergeCell ref="D3:L3"/>
    <mergeCell ref="D4:L4"/>
    <mergeCell ref="B55:J55"/>
    <mergeCell ref="A6:R6"/>
    <mergeCell ref="A10:B10"/>
    <mergeCell ref="A28:F28"/>
    <mergeCell ref="A27:M27"/>
    <mergeCell ref="A9:R9"/>
    <mergeCell ref="A31:E31"/>
    <mergeCell ref="A36:E36"/>
    <mergeCell ref="Q36:U36"/>
    <mergeCell ref="Q37:U37"/>
    <mergeCell ref="A32:E32"/>
    <mergeCell ref="A33:E33"/>
    <mergeCell ref="A34:E34"/>
    <mergeCell ref="A35:E35"/>
    <mergeCell ref="O32:Q32"/>
    <mergeCell ref="S32:V32"/>
    <mergeCell ref="S33:V33"/>
    <mergeCell ref="O31:Q31"/>
    <mergeCell ref="I33:L33"/>
    <mergeCell ref="I34:L34"/>
    <mergeCell ref="N29:N30"/>
    <mergeCell ref="I29:L30"/>
    <mergeCell ref="O30:Q30"/>
    <mergeCell ref="I31:L31"/>
    <mergeCell ref="A49:E49"/>
    <mergeCell ref="I49:M49"/>
    <mergeCell ref="H28:H51"/>
    <mergeCell ref="A51:E51"/>
    <mergeCell ref="A46:E46"/>
    <mergeCell ref="I36:M36"/>
    <mergeCell ref="I37:M37"/>
    <mergeCell ref="I32:L32"/>
    <mergeCell ref="A29:E29"/>
    <mergeCell ref="A30:E30"/>
    <mergeCell ref="A42:E42"/>
    <mergeCell ref="O33:Q33"/>
    <mergeCell ref="O34:Q34"/>
    <mergeCell ref="A48:E48"/>
    <mergeCell ref="I48:M48"/>
    <mergeCell ref="I35:W35"/>
    <mergeCell ref="P36:P51"/>
    <mergeCell ref="Q39:U39"/>
    <mergeCell ref="I43:M43"/>
    <mergeCell ref="I42:M42"/>
    <mergeCell ref="I41:M41"/>
    <mergeCell ref="A37:E37"/>
    <mergeCell ref="A50:E50"/>
    <mergeCell ref="A47:E47"/>
    <mergeCell ref="A38:E38"/>
    <mergeCell ref="A45:E45"/>
    <mergeCell ref="A44:E44"/>
    <mergeCell ref="A40:E40"/>
    <mergeCell ref="A39:E39"/>
    <mergeCell ref="A41:E41"/>
    <mergeCell ref="I50:M50"/>
    <mergeCell ref="A43:E43"/>
    <mergeCell ref="I51:M51"/>
    <mergeCell ref="I38:M38"/>
    <mergeCell ref="I39:M39"/>
    <mergeCell ref="I44:M44"/>
    <mergeCell ref="I45:M45"/>
    <mergeCell ref="I46:M46"/>
    <mergeCell ref="I47:M47"/>
    <mergeCell ref="I40:M40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85" zoomScaleNormal="85" zoomScalePageLayoutView="0" workbookViewId="0" topLeftCell="A22">
      <selection activeCell="D52" sqref="D52"/>
    </sheetView>
  </sheetViews>
  <sheetFormatPr defaultColWidth="9.140625" defaultRowHeight="12.75"/>
  <cols>
    <col min="1" max="1" width="18.140625" style="0" bestFit="1" customWidth="1"/>
    <col min="2" max="2" width="121.2812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8" customFormat="1" ht="18">
      <c r="A1" s="837" t="s">
        <v>59</v>
      </c>
      <c r="B1" s="837"/>
      <c r="C1" s="837"/>
      <c r="D1" s="837"/>
      <c r="E1" s="837"/>
      <c r="F1" s="837"/>
      <c r="G1" s="187"/>
      <c r="H1" s="187"/>
      <c r="K1" s="189"/>
      <c r="L1" s="190"/>
      <c r="M1" s="191"/>
      <c r="N1" s="191"/>
      <c r="O1" s="190"/>
    </row>
    <row r="2" spans="1:15" s="188" customFormat="1" ht="26.25" thickBot="1">
      <c r="A2" s="841" t="str">
        <f>'dados de entrada'!B15</f>
        <v>PREFEITURA MUNICIPAL DE BOMBINHAS</v>
      </c>
      <c r="B2" s="841"/>
      <c r="C2" s="841"/>
      <c r="D2" s="841"/>
      <c r="E2" s="841"/>
      <c r="F2" s="841"/>
      <c r="G2" s="192"/>
      <c r="H2" s="192"/>
      <c r="K2" s="189"/>
      <c r="L2" s="190"/>
      <c r="M2" s="191"/>
      <c r="N2" s="191"/>
      <c r="O2" s="190"/>
    </row>
    <row r="3" spans="1:15" s="188" customFormat="1" ht="12.75">
      <c r="A3" s="811" t="s">
        <v>17</v>
      </c>
      <c r="B3" s="812"/>
      <c r="C3" s="812"/>
      <c r="D3" s="812"/>
      <c r="E3" s="812"/>
      <c r="F3" s="193" t="s">
        <v>110</v>
      </c>
      <c r="G3" s="194"/>
      <c r="H3" s="194"/>
      <c r="K3" s="189"/>
      <c r="L3" s="190"/>
      <c r="M3" s="191"/>
      <c r="N3" s="191"/>
      <c r="O3" s="190"/>
    </row>
    <row r="4" spans="1:15" s="188" customFormat="1" ht="18.75" thickBot="1">
      <c r="A4" s="842" t="str">
        <f>'dados de entrada'!B8</f>
        <v>PAVIMENTAÇÃO COM LAJOTAS SEXTAVADAS E DRENAGEM PLUVIAL </v>
      </c>
      <c r="B4" s="843"/>
      <c r="C4" s="844"/>
      <c r="D4" s="844"/>
      <c r="E4" s="843"/>
      <c r="F4" s="374">
        <f>'dados de entrada'!B3</f>
        <v>41671</v>
      </c>
      <c r="G4" s="195"/>
      <c r="H4" s="195"/>
      <c r="K4" s="189"/>
      <c r="L4" s="190"/>
      <c r="M4" s="191"/>
      <c r="N4" s="191"/>
      <c r="O4" s="190"/>
    </row>
    <row r="5" spans="1:15" s="188" customFormat="1" ht="12.75">
      <c r="A5" s="373" t="s">
        <v>200</v>
      </c>
      <c r="B5" s="834"/>
      <c r="C5" s="834"/>
      <c r="D5" s="834"/>
      <c r="E5" s="830" t="s">
        <v>19</v>
      </c>
      <c r="F5" s="831"/>
      <c r="G5" s="194"/>
      <c r="H5" s="196"/>
      <c r="K5" s="189"/>
      <c r="L5" s="190"/>
      <c r="M5" s="191"/>
      <c r="N5" s="191"/>
      <c r="O5" s="190"/>
    </row>
    <row r="6" spans="1:15" s="188" customFormat="1" ht="18">
      <c r="A6" s="372" t="str">
        <f>'dados de entrada'!C19</f>
        <v>RUA CABRITO - BAIRRO JOSÉ AMANDIO</v>
      </c>
      <c r="B6" s="375"/>
      <c r="C6" s="375"/>
      <c r="D6" s="375"/>
      <c r="E6" s="828" t="s">
        <v>201</v>
      </c>
      <c r="F6" s="829"/>
      <c r="G6" s="197"/>
      <c r="H6" s="197"/>
      <c r="K6" s="189"/>
      <c r="L6" s="190"/>
      <c r="M6" s="191"/>
      <c r="N6" s="191"/>
      <c r="O6" s="190"/>
    </row>
    <row r="7" spans="1:15" s="188" customFormat="1" ht="15.75" thickBot="1">
      <c r="A7" s="832"/>
      <c r="B7" s="833"/>
      <c r="C7" s="833"/>
      <c r="D7" s="833"/>
      <c r="E7" s="376" t="s">
        <v>433</v>
      </c>
      <c r="F7" s="377">
        <f>'dados de entrada'!B10</f>
        <v>0.25</v>
      </c>
      <c r="G7" s="198"/>
      <c r="H7" s="198"/>
      <c r="K7" s="189"/>
      <c r="L7" s="190"/>
      <c r="M7" s="191"/>
      <c r="N7" s="191"/>
      <c r="O7" s="190"/>
    </row>
    <row r="8" spans="1:15" s="188" customFormat="1" ht="21" thickBot="1">
      <c r="A8" s="401">
        <f>'dados de entrada'!B3</f>
        <v>41671</v>
      </c>
      <c r="B8" s="402" t="s">
        <v>386</v>
      </c>
      <c r="C8" s="838" t="s">
        <v>387</v>
      </c>
      <c r="D8" s="838"/>
      <c r="E8" s="838"/>
      <c r="F8" s="838"/>
      <c r="G8" s="199"/>
      <c r="H8" s="199"/>
      <c r="K8" s="189"/>
      <c r="L8" s="190"/>
      <c r="M8" s="191"/>
      <c r="N8" s="191"/>
      <c r="O8" s="190"/>
    </row>
    <row r="9" spans="1:15" s="200" customFormat="1" ht="18.75" thickBot="1">
      <c r="A9" s="403" t="s">
        <v>0</v>
      </c>
      <c r="B9" s="404" t="s">
        <v>1</v>
      </c>
      <c r="C9" s="404" t="s">
        <v>2</v>
      </c>
      <c r="D9" s="404" t="s">
        <v>10</v>
      </c>
      <c r="E9" s="859" t="s">
        <v>48</v>
      </c>
      <c r="F9" s="860"/>
      <c r="I9" s="201"/>
      <c r="K9" s="856" t="s">
        <v>49</v>
      </c>
      <c r="L9" s="857"/>
      <c r="M9" s="857"/>
      <c r="N9" s="857"/>
      <c r="O9" s="858"/>
    </row>
    <row r="10" spans="1:15" s="200" customFormat="1" ht="18">
      <c r="A10" s="387" t="s">
        <v>549</v>
      </c>
      <c r="B10" s="388" t="s">
        <v>51</v>
      </c>
      <c r="C10" s="389"/>
      <c r="D10" s="202"/>
      <c r="E10" s="826"/>
      <c r="F10" s="827"/>
      <c r="I10" s="201"/>
      <c r="K10" s="203"/>
      <c r="L10" s="203"/>
      <c r="M10" s="203"/>
      <c r="N10" s="203"/>
      <c r="O10" s="203"/>
    </row>
    <row r="11" spans="1:15" s="200" customFormat="1" ht="18">
      <c r="A11" s="353" t="s">
        <v>8</v>
      </c>
      <c r="B11" s="386" t="s">
        <v>207</v>
      </c>
      <c r="C11" s="399" t="s">
        <v>3</v>
      </c>
      <c r="D11" s="204">
        <v>3</v>
      </c>
      <c r="E11" s="806" t="s">
        <v>196</v>
      </c>
      <c r="F11" s="807"/>
      <c r="I11" s="201"/>
      <c r="K11" s="203"/>
      <c r="L11" s="203"/>
      <c r="M11" s="203"/>
      <c r="N11" s="203"/>
      <c r="O11" s="203"/>
    </row>
    <row r="12" spans="1:15" s="200" customFormat="1" ht="18.75" thickBot="1">
      <c r="A12" s="544"/>
      <c r="B12" s="545"/>
      <c r="C12" s="546"/>
      <c r="D12" s="547"/>
      <c r="E12" s="839"/>
      <c r="F12" s="840"/>
      <c r="I12" s="201"/>
      <c r="K12" s="203"/>
      <c r="L12" s="203"/>
      <c r="M12" s="203"/>
      <c r="N12" s="203"/>
      <c r="O12" s="203"/>
    </row>
    <row r="13" spans="1:15" s="200" customFormat="1" ht="18">
      <c r="A13" s="387" t="s">
        <v>552</v>
      </c>
      <c r="B13" s="388" t="s">
        <v>56</v>
      </c>
      <c r="C13" s="389"/>
      <c r="D13" s="202"/>
      <c r="E13" s="835"/>
      <c r="F13" s="836"/>
      <c r="I13" s="201"/>
      <c r="K13" s="203"/>
      <c r="L13" s="203"/>
      <c r="M13" s="203"/>
      <c r="N13" s="203"/>
      <c r="O13" s="203"/>
    </row>
    <row r="14" spans="1:15" s="200" customFormat="1" ht="18">
      <c r="A14" s="353" t="s">
        <v>52</v>
      </c>
      <c r="B14" s="386" t="s">
        <v>425</v>
      </c>
      <c r="C14" s="581" t="s">
        <v>9</v>
      </c>
      <c r="D14" s="204">
        <f>Escavação!N27+Escavação!O27</f>
        <v>327</v>
      </c>
      <c r="E14" s="806" t="s">
        <v>58</v>
      </c>
      <c r="F14" s="807"/>
      <c r="I14" s="201"/>
      <c r="K14" s="203"/>
      <c r="L14" s="203"/>
      <c r="M14" s="203"/>
      <c r="N14" s="203"/>
      <c r="O14" s="203"/>
    </row>
    <row r="15" spans="1:15" s="200" customFormat="1" ht="18">
      <c r="A15" s="353" t="s">
        <v>53</v>
      </c>
      <c r="B15" s="386" t="s">
        <v>208</v>
      </c>
      <c r="C15" s="581" t="s">
        <v>9</v>
      </c>
      <c r="D15" s="204">
        <f>ROUND(Escavação!P27,0)</f>
        <v>11</v>
      </c>
      <c r="E15" s="806" t="s">
        <v>58</v>
      </c>
      <c r="F15" s="807"/>
      <c r="I15" s="201"/>
      <c r="K15" s="203"/>
      <c r="L15" s="203"/>
      <c r="M15" s="203"/>
      <c r="N15" s="203"/>
      <c r="O15" s="203"/>
    </row>
    <row r="16" spans="1:15" s="200" customFormat="1" ht="18">
      <c r="A16" s="353" t="s">
        <v>54</v>
      </c>
      <c r="B16" s="386" t="s">
        <v>585</v>
      </c>
      <c r="C16" s="637" t="s">
        <v>50</v>
      </c>
      <c r="D16" s="204">
        <f>Escavação!F29</f>
        <v>116</v>
      </c>
      <c r="E16" s="806" t="s">
        <v>58</v>
      </c>
      <c r="F16" s="807"/>
      <c r="I16" s="201"/>
      <c r="K16" s="203"/>
      <c r="L16" s="203"/>
      <c r="M16" s="203"/>
      <c r="N16" s="203"/>
      <c r="O16" s="203"/>
    </row>
    <row r="17" spans="1:15" s="200" customFormat="1" ht="18">
      <c r="A17" s="353" t="s">
        <v>55</v>
      </c>
      <c r="B17" s="386" t="s">
        <v>587</v>
      </c>
      <c r="C17" s="637" t="s">
        <v>50</v>
      </c>
      <c r="D17" s="204">
        <f>Escavação!F29</f>
        <v>116</v>
      </c>
      <c r="E17" s="806" t="s">
        <v>58</v>
      </c>
      <c r="F17" s="807"/>
      <c r="I17" s="201"/>
      <c r="K17" s="203"/>
      <c r="L17" s="203"/>
      <c r="M17" s="203"/>
      <c r="N17" s="203"/>
      <c r="O17" s="203"/>
    </row>
    <row r="18" spans="1:15" s="200" customFormat="1" ht="18">
      <c r="A18" s="353" t="s">
        <v>151</v>
      </c>
      <c r="B18" s="386" t="s">
        <v>586</v>
      </c>
      <c r="C18" s="637" t="s">
        <v>50</v>
      </c>
      <c r="D18" s="204">
        <f>Escavação!F30</f>
        <v>285</v>
      </c>
      <c r="E18" s="806" t="s">
        <v>58</v>
      </c>
      <c r="F18" s="807"/>
      <c r="I18" s="201"/>
      <c r="K18" s="203"/>
      <c r="L18" s="203"/>
      <c r="M18" s="203"/>
      <c r="N18" s="203"/>
      <c r="O18" s="203"/>
    </row>
    <row r="19" spans="1:15" s="200" customFormat="1" ht="18">
      <c r="A19" s="353" t="s">
        <v>198</v>
      </c>
      <c r="B19" s="386" t="s">
        <v>588</v>
      </c>
      <c r="C19" s="637" t="s">
        <v>50</v>
      </c>
      <c r="D19" s="204">
        <f>Escavação!F30</f>
        <v>285</v>
      </c>
      <c r="E19" s="806" t="s">
        <v>58</v>
      </c>
      <c r="F19" s="807"/>
      <c r="I19" s="201"/>
      <c r="K19" s="203"/>
      <c r="L19" s="203"/>
      <c r="M19" s="203"/>
      <c r="N19" s="203"/>
      <c r="O19" s="203"/>
    </row>
    <row r="20" spans="1:15" s="200" customFormat="1" ht="18">
      <c r="A20" s="800" t="s">
        <v>199</v>
      </c>
      <c r="B20" s="802" t="s">
        <v>420</v>
      </c>
      <c r="C20" s="804" t="s">
        <v>3</v>
      </c>
      <c r="D20" s="804">
        <f>ROUND((F20+F21),0)</f>
        <v>217</v>
      </c>
      <c r="E20" s="352" t="s">
        <v>423</v>
      </c>
      <c r="F20" s="354">
        <f>(((2*PI()*0.19)+0.3)*D17)*0.3</f>
        <v>51.98442125107142</v>
      </c>
      <c r="G20" s="205"/>
      <c r="I20" s="201"/>
      <c r="K20" s="203"/>
      <c r="L20" s="203"/>
      <c r="M20" s="203"/>
      <c r="N20" s="203"/>
      <c r="O20" s="203"/>
    </row>
    <row r="21" spans="1:15" s="200" customFormat="1" ht="18">
      <c r="A21" s="801"/>
      <c r="B21" s="803"/>
      <c r="C21" s="805"/>
      <c r="D21" s="805"/>
      <c r="E21" s="352" t="s">
        <v>424</v>
      </c>
      <c r="F21" s="354">
        <f>(((2*PI()*0.26)+0.3)*D19)*0.3</f>
        <v>165.32520937860218</v>
      </c>
      <c r="G21" s="205"/>
      <c r="I21" s="201"/>
      <c r="K21" s="203"/>
      <c r="L21" s="203"/>
      <c r="M21" s="203"/>
      <c r="N21" s="203"/>
      <c r="O21" s="203"/>
    </row>
    <row r="22" spans="1:15" s="200" customFormat="1" ht="18">
      <c r="A22" s="353" t="s">
        <v>388</v>
      </c>
      <c r="B22" s="386" t="s">
        <v>214</v>
      </c>
      <c r="C22" s="581" t="s">
        <v>9</v>
      </c>
      <c r="D22" s="204">
        <f>ROUND(Escavação!R27,1)</f>
        <v>250</v>
      </c>
      <c r="E22" s="806" t="s">
        <v>58</v>
      </c>
      <c r="F22" s="807"/>
      <c r="I22" s="201"/>
      <c r="K22" s="203"/>
      <c r="L22" s="203"/>
      <c r="M22" s="203"/>
      <c r="N22" s="203"/>
      <c r="O22" s="203"/>
    </row>
    <row r="23" spans="1:15" s="200" customFormat="1" ht="18">
      <c r="A23" s="353" t="s">
        <v>389</v>
      </c>
      <c r="B23" s="386" t="s">
        <v>454</v>
      </c>
      <c r="C23" s="581" t="s">
        <v>9</v>
      </c>
      <c r="D23" s="204">
        <f>D14-D22</f>
        <v>77</v>
      </c>
      <c r="E23" s="806" t="s">
        <v>58</v>
      </c>
      <c r="F23" s="807"/>
      <c r="I23" s="201"/>
      <c r="K23" s="203"/>
      <c r="L23" s="203"/>
      <c r="M23" s="203"/>
      <c r="N23" s="203"/>
      <c r="O23" s="203"/>
    </row>
    <row r="24" spans="1:15" s="200" customFormat="1" ht="18">
      <c r="A24" s="353" t="s">
        <v>390</v>
      </c>
      <c r="B24" s="386" t="s">
        <v>418</v>
      </c>
      <c r="C24" s="581" t="s">
        <v>4</v>
      </c>
      <c r="D24" s="204">
        <f>Escavação!F36</f>
        <v>7</v>
      </c>
      <c r="E24" s="806" t="s">
        <v>58</v>
      </c>
      <c r="F24" s="807"/>
      <c r="I24" s="201"/>
      <c r="K24" s="203"/>
      <c r="L24" s="203"/>
      <c r="M24" s="203"/>
      <c r="N24" s="203"/>
      <c r="O24" s="203"/>
    </row>
    <row r="25" spans="1:15" s="200" customFormat="1" ht="18">
      <c r="A25" s="353" t="s">
        <v>589</v>
      </c>
      <c r="B25" s="386" t="s">
        <v>419</v>
      </c>
      <c r="C25" s="581" t="s">
        <v>4</v>
      </c>
      <c r="D25" s="204">
        <f>Escavação!F37</f>
        <v>4</v>
      </c>
      <c r="E25" s="806" t="s">
        <v>58</v>
      </c>
      <c r="F25" s="807"/>
      <c r="I25" s="201"/>
      <c r="K25" s="203"/>
      <c r="L25" s="203"/>
      <c r="M25" s="203"/>
      <c r="N25" s="203"/>
      <c r="O25" s="203"/>
    </row>
    <row r="26" spans="1:15" s="200" customFormat="1" ht="18">
      <c r="A26" s="353" t="s">
        <v>590</v>
      </c>
      <c r="B26" s="386" t="s">
        <v>451</v>
      </c>
      <c r="C26" s="581" t="s">
        <v>4</v>
      </c>
      <c r="D26" s="204">
        <f>Escavação!F46</f>
        <v>26</v>
      </c>
      <c r="E26" s="806" t="s">
        <v>58</v>
      </c>
      <c r="F26" s="807"/>
      <c r="I26" s="201"/>
      <c r="K26" s="203"/>
      <c r="L26" s="203"/>
      <c r="M26" s="203"/>
      <c r="N26" s="203"/>
      <c r="O26" s="203"/>
    </row>
    <row r="27" spans="1:15" s="200" customFormat="1" ht="18.75" thickBot="1">
      <c r="A27" s="355"/>
      <c r="B27" s="391"/>
      <c r="C27" s="582"/>
      <c r="D27" s="206"/>
      <c r="E27" s="814"/>
      <c r="F27" s="815"/>
      <c r="I27" s="201"/>
      <c r="K27" s="203"/>
      <c r="L27" s="203"/>
      <c r="M27" s="203"/>
      <c r="N27" s="203"/>
      <c r="O27" s="203"/>
    </row>
    <row r="28" spans="1:15" s="207" customFormat="1" ht="15.75">
      <c r="A28" s="548" t="s">
        <v>556</v>
      </c>
      <c r="B28" s="549" t="s">
        <v>555</v>
      </c>
      <c r="C28" s="587"/>
      <c r="D28" s="588"/>
      <c r="E28" s="824"/>
      <c r="F28" s="825"/>
      <c r="I28" s="208"/>
      <c r="K28" s="209"/>
      <c r="L28" s="208"/>
      <c r="M28" s="210"/>
      <c r="N28" s="210"/>
      <c r="O28" s="208"/>
    </row>
    <row r="29" spans="1:15" s="200" customFormat="1" ht="18">
      <c r="A29" s="390" t="s">
        <v>57</v>
      </c>
      <c r="B29" s="386" t="s">
        <v>215</v>
      </c>
      <c r="C29" s="504" t="s">
        <v>3</v>
      </c>
      <c r="D29" s="211">
        <v>3276.9</v>
      </c>
      <c r="E29" s="806" t="s">
        <v>414</v>
      </c>
      <c r="F29" s="807"/>
      <c r="H29" s="212"/>
      <c r="I29" s="201"/>
      <c r="K29" s="203"/>
      <c r="L29" s="203"/>
      <c r="M29" s="203"/>
      <c r="N29" s="203"/>
      <c r="O29" s="203"/>
    </row>
    <row r="30" spans="1:15" s="200" customFormat="1" ht="18">
      <c r="A30" s="390" t="s">
        <v>411</v>
      </c>
      <c r="B30" s="386" t="s">
        <v>562</v>
      </c>
      <c r="C30" s="614" t="s">
        <v>50</v>
      </c>
      <c r="D30" s="211">
        <v>794</v>
      </c>
      <c r="E30" s="806" t="s">
        <v>414</v>
      </c>
      <c r="F30" s="807"/>
      <c r="H30" s="212"/>
      <c r="I30" s="201"/>
      <c r="K30" s="203"/>
      <c r="L30" s="203"/>
      <c r="M30" s="203"/>
      <c r="N30" s="203"/>
      <c r="O30" s="203"/>
    </row>
    <row r="31" spans="1:15" s="200" customFormat="1" ht="18">
      <c r="A31" s="390" t="s">
        <v>412</v>
      </c>
      <c r="B31" s="386" t="s">
        <v>598</v>
      </c>
      <c r="C31" s="504" t="s">
        <v>3</v>
      </c>
      <c r="D31" s="211">
        <f>D29</f>
        <v>3276.9</v>
      </c>
      <c r="E31" s="806" t="s">
        <v>414</v>
      </c>
      <c r="F31" s="807"/>
      <c r="H31" s="212"/>
      <c r="I31" s="201"/>
      <c r="K31" s="203"/>
      <c r="L31" s="203"/>
      <c r="M31" s="203"/>
      <c r="N31" s="203"/>
      <c r="O31" s="203"/>
    </row>
    <row r="32" spans="1:15" s="200" customFormat="1" ht="18.75" thickBot="1">
      <c r="A32" s="405"/>
      <c r="B32" s="391"/>
      <c r="C32" s="400"/>
      <c r="D32" s="406"/>
      <c r="E32" s="872"/>
      <c r="F32" s="873"/>
      <c r="H32" s="212"/>
      <c r="I32" s="201"/>
      <c r="K32" s="203"/>
      <c r="L32" s="203"/>
      <c r="M32" s="203"/>
      <c r="N32" s="203"/>
      <c r="O32" s="203"/>
    </row>
    <row r="33" spans="1:15" s="200" customFormat="1" ht="18">
      <c r="A33" s="548" t="s">
        <v>558</v>
      </c>
      <c r="B33" s="549" t="s">
        <v>435</v>
      </c>
      <c r="C33" s="550"/>
      <c r="D33" s="551"/>
      <c r="E33" s="824"/>
      <c r="F33" s="825"/>
      <c r="H33" s="212"/>
      <c r="I33" s="201"/>
      <c r="K33" s="203"/>
      <c r="L33" s="203"/>
      <c r="M33" s="203"/>
      <c r="N33" s="203"/>
      <c r="O33" s="203"/>
    </row>
    <row r="34" spans="1:15" s="200" customFormat="1" ht="18">
      <c r="A34" s="390" t="s">
        <v>147</v>
      </c>
      <c r="B34" s="386" t="s">
        <v>595</v>
      </c>
      <c r="C34" s="638" t="s">
        <v>9</v>
      </c>
      <c r="D34" s="204">
        <f>ROUND(934.8*0.05,0)</f>
        <v>47</v>
      </c>
      <c r="E34" s="806" t="s">
        <v>574</v>
      </c>
      <c r="F34" s="807"/>
      <c r="H34" s="212"/>
      <c r="I34" s="201"/>
      <c r="K34" s="203"/>
      <c r="L34" s="203"/>
      <c r="M34" s="203"/>
      <c r="N34" s="203"/>
      <c r="O34" s="203"/>
    </row>
    <row r="35" spans="1:15" s="200" customFormat="1" ht="18">
      <c r="A35" s="390" t="s">
        <v>392</v>
      </c>
      <c r="B35" s="386" t="s">
        <v>596</v>
      </c>
      <c r="C35" s="638" t="s">
        <v>3</v>
      </c>
      <c r="D35" s="204">
        <v>934.8</v>
      </c>
      <c r="E35" s="806" t="s">
        <v>597</v>
      </c>
      <c r="F35" s="807"/>
      <c r="H35" s="212"/>
      <c r="I35" s="201"/>
      <c r="K35" s="203"/>
      <c r="L35" s="203"/>
      <c r="M35" s="203"/>
      <c r="N35" s="203"/>
      <c r="O35" s="203"/>
    </row>
    <row r="36" spans="1:15" s="200" customFormat="1" ht="18">
      <c r="A36" s="390" t="s">
        <v>437</v>
      </c>
      <c r="B36" s="386" t="s">
        <v>436</v>
      </c>
      <c r="C36" s="399" t="s">
        <v>50</v>
      </c>
      <c r="D36" s="211">
        <v>775</v>
      </c>
      <c r="E36" s="806" t="s">
        <v>414</v>
      </c>
      <c r="F36" s="807"/>
      <c r="H36" s="212"/>
      <c r="I36" s="201"/>
      <c r="K36" s="203"/>
      <c r="L36" s="203"/>
      <c r="M36" s="203"/>
      <c r="N36" s="203"/>
      <c r="O36" s="203"/>
    </row>
    <row r="37" spans="1:15" s="200" customFormat="1" ht="18">
      <c r="A37" s="390" t="s">
        <v>438</v>
      </c>
      <c r="B37" s="386" t="s">
        <v>458</v>
      </c>
      <c r="C37" s="399" t="s">
        <v>3</v>
      </c>
      <c r="D37" s="211">
        <v>733.3</v>
      </c>
      <c r="E37" s="806" t="s">
        <v>414</v>
      </c>
      <c r="F37" s="807"/>
      <c r="H37" s="212"/>
      <c r="I37" s="201"/>
      <c r="K37" s="203"/>
      <c r="L37" s="203"/>
      <c r="M37" s="203"/>
      <c r="N37" s="203"/>
      <c r="O37" s="203"/>
    </row>
    <row r="38" spans="1:15" s="200" customFormat="1" ht="18">
      <c r="A38" s="390" t="s">
        <v>439</v>
      </c>
      <c r="B38" s="386" t="s">
        <v>563</v>
      </c>
      <c r="C38" s="581" t="s">
        <v>3</v>
      </c>
      <c r="D38" s="211">
        <v>146.4</v>
      </c>
      <c r="E38" s="806" t="s">
        <v>414</v>
      </c>
      <c r="F38" s="807"/>
      <c r="H38" s="212"/>
      <c r="I38" s="201"/>
      <c r="K38" s="203"/>
      <c r="L38" s="203"/>
      <c r="M38" s="203"/>
      <c r="N38" s="203"/>
      <c r="O38" s="203"/>
    </row>
    <row r="39" spans="1:15" s="200" customFormat="1" ht="18">
      <c r="A39" s="390" t="s">
        <v>564</v>
      </c>
      <c r="B39" s="386" t="s">
        <v>453</v>
      </c>
      <c r="C39" s="399" t="s">
        <v>3</v>
      </c>
      <c r="D39" s="211">
        <v>6.1</v>
      </c>
      <c r="E39" s="806" t="s">
        <v>414</v>
      </c>
      <c r="F39" s="807"/>
      <c r="H39" s="212"/>
      <c r="I39" s="201"/>
      <c r="K39" s="203"/>
      <c r="L39" s="203"/>
      <c r="M39" s="203"/>
      <c r="N39" s="203"/>
      <c r="O39" s="203"/>
    </row>
    <row r="40" spans="1:15" s="200" customFormat="1" ht="18.75" thickBot="1">
      <c r="A40" s="405"/>
      <c r="B40" s="391"/>
      <c r="C40" s="400"/>
      <c r="D40" s="406"/>
      <c r="E40" s="814"/>
      <c r="F40" s="815"/>
      <c r="H40" s="212"/>
      <c r="I40" s="201"/>
      <c r="K40" s="203"/>
      <c r="L40" s="203"/>
      <c r="M40" s="203"/>
      <c r="N40" s="203"/>
      <c r="O40" s="203"/>
    </row>
    <row r="41" spans="1:15" s="200" customFormat="1" ht="18">
      <c r="A41" s="387" t="s">
        <v>559</v>
      </c>
      <c r="B41" s="388" t="s">
        <v>440</v>
      </c>
      <c r="C41" s="394"/>
      <c r="D41" s="395"/>
      <c r="E41" s="826"/>
      <c r="F41" s="827"/>
      <c r="H41" s="212"/>
      <c r="I41" s="201"/>
      <c r="K41" s="203"/>
      <c r="L41" s="203"/>
      <c r="M41" s="203"/>
      <c r="N41" s="203"/>
      <c r="O41" s="203"/>
    </row>
    <row r="42" spans="1:15" s="200" customFormat="1" ht="18">
      <c r="A42" s="390" t="s">
        <v>444</v>
      </c>
      <c r="B42" s="386" t="s">
        <v>441</v>
      </c>
      <c r="C42" s="399" t="s">
        <v>9</v>
      </c>
      <c r="D42" s="211">
        <f>ROUND(49*0.07,0)</f>
        <v>3</v>
      </c>
      <c r="E42" s="806" t="s">
        <v>575</v>
      </c>
      <c r="F42" s="807"/>
      <c r="H42" s="212"/>
      <c r="I42" s="201"/>
      <c r="K42" s="203"/>
      <c r="L42" s="203"/>
      <c r="M42" s="203"/>
      <c r="N42" s="203"/>
      <c r="O42" s="203"/>
    </row>
    <row r="43" spans="1:15" s="200" customFormat="1" ht="18">
      <c r="A43" s="390" t="s">
        <v>445</v>
      </c>
      <c r="B43" s="386" t="s">
        <v>442</v>
      </c>
      <c r="C43" s="399" t="s">
        <v>3</v>
      </c>
      <c r="D43" s="211">
        <f>ROUNDUP(0.6*0.6*8,1)</f>
        <v>2.9</v>
      </c>
      <c r="E43" s="806" t="s">
        <v>583</v>
      </c>
      <c r="F43" s="807"/>
      <c r="H43" s="212"/>
      <c r="I43" s="201"/>
      <c r="K43" s="203"/>
      <c r="L43" s="203"/>
      <c r="M43" s="203"/>
      <c r="N43" s="203"/>
      <c r="O43" s="203"/>
    </row>
    <row r="44" spans="1:15" s="200" customFormat="1" ht="18">
      <c r="A44" s="390" t="s">
        <v>446</v>
      </c>
      <c r="B44" s="386" t="s">
        <v>443</v>
      </c>
      <c r="C44" s="399" t="s">
        <v>3</v>
      </c>
      <c r="D44" s="211">
        <f>ROUND(0.039*8,1)</f>
        <v>0.3</v>
      </c>
      <c r="E44" s="806" t="s">
        <v>584</v>
      </c>
      <c r="F44" s="807"/>
      <c r="H44" s="212"/>
      <c r="I44" s="201"/>
      <c r="K44" s="203"/>
      <c r="L44" s="203"/>
      <c r="M44" s="203"/>
      <c r="N44" s="203"/>
      <c r="O44" s="203"/>
    </row>
    <row r="45" spans="1:15" s="200" customFormat="1" ht="18.75" thickBot="1">
      <c r="A45" s="405"/>
      <c r="B45" s="391"/>
      <c r="C45" s="400"/>
      <c r="D45" s="406"/>
      <c r="E45" s="814"/>
      <c r="F45" s="815"/>
      <c r="H45" s="212"/>
      <c r="I45" s="201"/>
      <c r="K45" s="203"/>
      <c r="L45" s="203"/>
      <c r="M45" s="203"/>
      <c r="N45" s="203"/>
      <c r="O45" s="203"/>
    </row>
    <row r="46" spans="1:15" s="200" customFormat="1" ht="18">
      <c r="A46" s="392" t="s">
        <v>560</v>
      </c>
      <c r="B46" s="388" t="s">
        <v>391</v>
      </c>
      <c r="C46" s="393"/>
      <c r="D46" s="239"/>
      <c r="E46" s="826"/>
      <c r="F46" s="827"/>
      <c r="G46" s="213"/>
      <c r="H46" s="213"/>
      <c r="I46" s="201"/>
      <c r="K46" s="203"/>
      <c r="L46" s="203"/>
      <c r="M46" s="203"/>
      <c r="N46" s="203"/>
      <c r="O46" s="203"/>
    </row>
    <row r="47" spans="1:15" s="200" customFormat="1" ht="18">
      <c r="A47" s="396" t="s">
        <v>448</v>
      </c>
      <c r="B47" s="386" t="s">
        <v>447</v>
      </c>
      <c r="C47" s="636" t="s">
        <v>3</v>
      </c>
      <c r="D47" s="238">
        <f>ROUNDUP(12.56*4,1)</f>
        <v>50.300000000000004</v>
      </c>
      <c r="E47" s="806" t="s">
        <v>576</v>
      </c>
      <c r="F47" s="807"/>
      <c r="G47" s="213"/>
      <c r="H47" s="213"/>
      <c r="I47" s="201"/>
      <c r="K47" s="203"/>
      <c r="L47" s="203"/>
      <c r="M47" s="203"/>
      <c r="N47" s="203"/>
      <c r="O47" s="203"/>
    </row>
    <row r="48" spans="1:15" s="200" customFormat="1" ht="18">
      <c r="A48" s="396" t="s">
        <v>449</v>
      </c>
      <c r="B48" s="386" t="s">
        <v>599</v>
      </c>
      <c r="C48" s="636" t="s">
        <v>3</v>
      </c>
      <c r="D48" s="238">
        <f>0.3*5</f>
        <v>1.5</v>
      </c>
      <c r="E48" s="806" t="s">
        <v>579</v>
      </c>
      <c r="F48" s="807"/>
      <c r="G48" s="213"/>
      <c r="H48" s="213"/>
      <c r="I48" s="201"/>
      <c r="K48" s="203"/>
      <c r="L48" s="203"/>
      <c r="M48" s="203"/>
      <c r="N48" s="203"/>
      <c r="O48" s="203"/>
    </row>
    <row r="49" spans="1:15" s="200" customFormat="1" ht="18">
      <c r="A49" s="396" t="s">
        <v>450</v>
      </c>
      <c r="B49" s="386" t="s">
        <v>600</v>
      </c>
      <c r="C49" s="636" t="s">
        <v>3</v>
      </c>
      <c r="D49" s="238">
        <f>ROUND(0.29*4,1)</f>
        <v>1.2</v>
      </c>
      <c r="E49" s="806" t="s">
        <v>577</v>
      </c>
      <c r="F49" s="807"/>
      <c r="G49" s="213"/>
      <c r="H49" s="213"/>
      <c r="I49" s="201"/>
      <c r="K49" s="203"/>
      <c r="L49" s="203"/>
      <c r="M49" s="203"/>
      <c r="N49" s="203"/>
      <c r="O49" s="203"/>
    </row>
    <row r="50" spans="1:15" s="200" customFormat="1" ht="18">
      <c r="A50" s="396" t="s">
        <v>452</v>
      </c>
      <c r="B50" s="386" t="s">
        <v>601</v>
      </c>
      <c r="C50" s="636" t="s">
        <v>3</v>
      </c>
      <c r="D50" s="238">
        <f>ROUND(0.36*8,1)</f>
        <v>2.9</v>
      </c>
      <c r="E50" s="806" t="s">
        <v>580</v>
      </c>
      <c r="F50" s="807"/>
      <c r="G50" s="213"/>
      <c r="H50" s="213"/>
      <c r="I50" s="201"/>
      <c r="K50" s="203"/>
      <c r="L50" s="203"/>
      <c r="M50" s="203"/>
      <c r="N50" s="203"/>
      <c r="O50" s="203"/>
    </row>
    <row r="51" spans="1:15" s="200" customFormat="1" ht="18">
      <c r="A51" s="396" t="s">
        <v>457</v>
      </c>
      <c r="B51" s="386" t="s">
        <v>602</v>
      </c>
      <c r="C51" s="636" t="s">
        <v>3</v>
      </c>
      <c r="D51" s="238">
        <v>0.3</v>
      </c>
      <c r="E51" s="806" t="s">
        <v>578</v>
      </c>
      <c r="F51" s="807"/>
      <c r="G51" s="213"/>
      <c r="H51" s="213"/>
      <c r="I51" s="201"/>
      <c r="K51" s="203"/>
      <c r="L51" s="203"/>
      <c r="M51" s="203"/>
      <c r="N51" s="203"/>
      <c r="O51" s="203"/>
    </row>
    <row r="52" spans="1:15" s="200" customFormat="1" ht="18">
      <c r="A52" s="396" t="s">
        <v>459</v>
      </c>
      <c r="B52" s="386" t="s">
        <v>604</v>
      </c>
      <c r="C52" s="636" t="s">
        <v>50</v>
      </c>
      <c r="D52" s="238">
        <f>3.1*18</f>
        <v>55.800000000000004</v>
      </c>
      <c r="E52" s="822" t="s">
        <v>605</v>
      </c>
      <c r="F52" s="823"/>
      <c r="G52" s="213"/>
      <c r="H52" s="213"/>
      <c r="I52" s="201"/>
      <c r="K52" s="203"/>
      <c r="L52" s="203"/>
      <c r="M52" s="203"/>
      <c r="N52" s="203"/>
      <c r="O52" s="203"/>
    </row>
    <row r="53" spans="1:15" s="200" customFormat="1" ht="18">
      <c r="A53" s="396" t="s">
        <v>603</v>
      </c>
      <c r="B53" s="386" t="s">
        <v>413</v>
      </c>
      <c r="C53" s="399" t="s">
        <v>4</v>
      </c>
      <c r="D53" s="204">
        <v>1</v>
      </c>
      <c r="E53" s="806" t="s">
        <v>414</v>
      </c>
      <c r="F53" s="807"/>
      <c r="G53" s="213"/>
      <c r="H53" s="213"/>
      <c r="I53" s="201"/>
      <c r="K53" s="203"/>
      <c r="L53" s="203"/>
      <c r="M53" s="203"/>
      <c r="N53" s="203"/>
      <c r="O53" s="203"/>
    </row>
    <row r="54" spans="1:15" s="200" customFormat="1" ht="18.75" thickBot="1">
      <c r="A54" s="397"/>
      <c r="B54" s="391"/>
      <c r="C54" s="400"/>
      <c r="D54" s="206"/>
      <c r="E54" s="814"/>
      <c r="F54" s="815"/>
      <c r="G54" s="213"/>
      <c r="H54" s="213"/>
      <c r="I54" s="201"/>
      <c r="K54" s="203"/>
      <c r="L54" s="203"/>
      <c r="M54" s="203"/>
      <c r="N54" s="203"/>
      <c r="O54" s="203"/>
    </row>
    <row r="55" spans="1:15" s="207" customFormat="1" ht="16.5" thickBot="1">
      <c r="A55" s="214"/>
      <c r="B55" s="215"/>
      <c r="C55" s="216"/>
      <c r="D55" s="217"/>
      <c r="E55" s="218"/>
      <c r="F55" s="218"/>
      <c r="I55" s="208"/>
      <c r="K55" s="209"/>
      <c r="L55" s="208"/>
      <c r="M55" s="210"/>
      <c r="N55" s="210"/>
      <c r="O55" s="208"/>
    </row>
    <row r="56" spans="1:15" s="207" customFormat="1" ht="15.75">
      <c r="A56" s="876" t="str">
        <f>'dados de entrada'!B15</f>
        <v>PREFEITURA MUNICIPAL DE BOMBINHAS</v>
      </c>
      <c r="B56" s="877"/>
      <c r="C56" s="811" t="s">
        <v>202</v>
      </c>
      <c r="D56" s="812"/>
      <c r="E56" s="812"/>
      <c r="F56" s="813"/>
      <c r="G56" s="194"/>
      <c r="H56" s="194"/>
      <c r="I56" s="208"/>
      <c r="K56" s="209"/>
      <c r="L56" s="208"/>
      <c r="M56" s="210"/>
      <c r="N56" s="210"/>
      <c r="O56" s="208"/>
    </row>
    <row r="57" spans="1:15" s="207" customFormat="1" ht="15.75">
      <c r="A57" s="867"/>
      <c r="B57" s="868"/>
      <c r="C57" s="816"/>
      <c r="D57" s="817"/>
      <c r="E57" s="817"/>
      <c r="F57" s="818"/>
      <c r="G57" s="219"/>
      <c r="H57" s="219"/>
      <c r="I57" s="208"/>
      <c r="K57" s="209"/>
      <c r="L57" s="208"/>
      <c r="M57" s="210"/>
      <c r="N57" s="210"/>
      <c r="O57" s="208"/>
    </row>
    <row r="58" spans="1:15" s="207" customFormat="1" ht="15.75" customHeight="1">
      <c r="A58" s="867"/>
      <c r="B58" s="868"/>
      <c r="C58" s="869" t="s">
        <v>206</v>
      </c>
      <c r="D58" s="870"/>
      <c r="E58" s="870"/>
      <c r="F58" s="871"/>
      <c r="G58" s="220"/>
      <c r="H58" s="221"/>
      <c r="I58" s="208"/>
      <c r="K58" s="209"/>
      <c r="L58" s="208"/>
      <c r="M58" s="210"/>
      <c r="N58" s="210"/>
      <c r="O58" s="208"/>
    </row>
    <row r="59" spans="1:15" s="207" customFormat="1" ht="15.75">
      <c r="A59" s="867"/>
      <c r="B59" s="868"/>
      <c r="C59" s="819" t="s">
        <v>205</v>
      </c>
      <c r="D59" s="820"/>
      <c r="E59" s="820"/>
      <c r="F59" s="821"/>
      <c r="G59" s="222"/>
      <c r="H59" s="223"/>
      <c r="I59" s="208"/>
      <c r="K59" s="209"/>
      <c r="L59" s="208"/>
      <c r="M59" s="210"/>
      <c r="N59" s="210"/>
      <c r="O59" s="208"/>
    </row>
    <row r="60" spans="1:15" s="207" customFormat="1" ht="15.75">
      <c r="A60" s="867"/>
      <c r="B60" s="868"/>
      <c r="C60" s="816"/>
      <c r="D60" s="817"/>
      <c r="E60" s="817"/>
      <c r="F60" s="818"/>
      <c r="G60" s="224"/>
      <c r="H60" s="224"/>
      <c r="I60" s="208"/>
      <c r="K60" s="209"/>
      <c r="L60" s="208"/>
      <c r="M60" s="210"/>
      <c r="N60" s="210"/>
      <c r="O60" s="208"/>
    </row>
    <row r="61" spans="1:15" s="207" customFormat="1" ht="15.75">
      <c r="A61" s="867"/>
      <c r="B61" s="868"/>
      <c r="C61" s="816"/>
      <c r="D61" s="817"/>
      <c r="E61" s="817"/>
      <c r="F61" s="818"/>
      <c r="G61" s="224"/>
      <c r="H61" s="224"/>
      <c r="I61" s="208"/>
      <c r="K61" s="209"/>
      <c r="L61" s="208"/>
      <c r="M61" s="210"/>
      <c r="N61" s="210"/>
      <c r="O61" s="208"/>
    </row>
    <row r="62" spans="1:15" s="207" customFormat="1" ht="15.75">
      <c r="A62" s="867"/>
      <c r="B62" s="868"/>
      <c r="C62" s="816"/>
      <c r="D62" s="817"/>
      <c r="E62" s="817"/>
      <c r="F62" s="818"/>
      <c r="G62" s="224"/>
      <c r="H62" s="224"/>
      <c r="I62" s="208"/>
      <c r="K62" s="209"/>
      <c r="L62" s="208"/>
      <c r="M62" s="210"/>
      <c r="N62" s="210"/>
      <c r="O62" s="208"/>
    </row>
    <row r="63" spans="1:15" s="207" customFormat="1" ht="15.75">
      <c r="A63" s="867" t="s">
        <v>203</v>
      </c>
      <c r="B63" s="868"/>
      <c r="C63" s="867" t="s">
        <v>204</v>
      </c>
      <c r="D63" s="875"/>
      <c r="E63" s="875"/>
      <c r="F63" s="868"/>
      <c r="G63" s="194"/>
      <c r="H63" s="194"/>
      <c r="I63" s="208"/>
      <c r="K63" s="209"/>
      <c r="L63" s="208"/>
      <c r="M63" s="210"/>
      <c r="N63" s="210"/>
      <c r="O63" s="208"/>
    </row>
    <row r="64" spans="1:15" s="207" customFormat="1" ht="16.5">
      <c r="A64" s="808" t="str">
        <f>'dados de entrada'!B5</f>
        <v>Ana Paula da Silva</v>
      </c>
      <c r="B64" s="810"/>
      <c r="C64" s="808" t="str">
        <f>'dados de entrada'!B6</f>
        <v>Carlos Alberto Bley</v>
      </c>
      <c r="D64" s="809"/>
      <c r="E64" s="809"/>
      <c r="F64" s="810"/>
      <c r="G64" s="225"/>
      <c r="H64" s="225"/>
      <c r="I64" s="208"/>
      <c r="K64" s="209"/>
      <c r="L64" s="208"/>
      <c r="M64" s="210"/>
      <c r="N64" s="210"/>
      <c r="O64" s="208"/>
    </row>
    <row r="65" spans="1:15" s="207" customFormat="1" ht="16.5" thickBot="1">
      <c r="A65" s="854" t="s">
        <v>550</v>
      </c>
      <c r="B65" s="855"/>
      <c r="C65" s="878" t="str">
        <f>'dados de entrada'!B17</f>
        <v>Engenheiro Civil - CREA SC 008.333-3</v>
      </c>
      <c r="D65" s="879"/>
      <c r="E65" s="879"/>
      <c r="F65" s="880"/>
      <c r="G65" s="226"/>
      <c r="H65" s="226"/>
      <c r="I65" s="208"/>
      <c r="K65" s="209"/>
      <c r="L65" s="208"/>
      <c r="M65" s="210"/>
      <c r="N65" s="210"/>
      <c r="O65" s="208"/>
    </row>
    <row r="66" spans="1:15" s="207" customFormat="1" ht="15.75">
      <c r="A66" s="214"/>
      <c r="B66" s="215"/>
      <c r="C66" s="216"/>
      <c r="D66" s="217"/>
      <c r="E66" s="218"/>
      <c r="F66" s="218"/>
      <c r="G66" s="227"/>
      <c r="H66" s="227"/>
      <c r="I66" s="208"/>
      <c r="K66" s="209"/>
      <c r="L66" s="208"/>
      <c r="M66" s="210"/>
      <c r="N66" s="210"/>
      <c r="O66" s="208"/>
    </row>
    <row r="67" spans="1:15" s="207" customFormat="1" ht="15.75">
      <c r="A67" s="214"/>
      <c r="B67" s="215"/>
      <c r="C67" s="216"/>
      <c r="D67" s="217"/>
      <c r="E67" s="218"/>
      <c r="F67" s="218"/>
      <c r="I67" s="208"/>
      <c r="K67" s="209"/>
      <c r="L67" s="208"/>
      <c r="M67" s="210"/>
      <c r="N67" s="210"/>
      <c r="O67" s="208"/>
    </row>
    <row r="68" spans="1:15" s="12" customFormat="1" ht="15.75">
      <c r="A68" s="118"/>
      <c r="B68" s="174"/>
      <c r="C68" s="175"/>
      <c r="D68" s="176"/>
      <c r="E68" s="177"/>
      <c r="F68" s="177"/>
      <c r="I68" s="13"/>
      <c r="K68" s="18"/>
      <c r="L68" s="13"/>
      <c r="M68" s="16"/>
      <c r="N68" s="16"/>
      <c r="O68" s="13"/>
    </row>
    <row r="69" spans="1:15" s="12" customFormat="1" ht="15.75">
      <c r="A69" s="118"/>
      <c r="B69" s="174"/>
      <c r="C69" s="175"/>
      <c r="D69" s="176"/>
      <c r="E69" s="177"/>
      <c r="F69" s="177"/>
      <c r="I69" s="13"/>
      <c r="K69" s="18"/>
      <c r="L69" s="13"/>
      <c r="M69" s="16"/>
      <c r="N69" s="16"/>
      <c r="O69" s="13"/>
    </row>
    <row r="70" spans="1:15" s="12" customFormat="1" ht="15.75">
      <c r="A70" s="118"/>
      <c r="B70" s="174"/>
      <c r="C70" s="175"/>
      <c r="D70" s="176"/>
      <c r="E70" s="177"/>
      <c r="F70" s="177"/>
      <c r="I70" s="13"/>
      <c r="K70" s="18"/>
      <c r="L70" s="13"/>
      <c r="M70" s="16"/>
      <c r="N70" s="16"/>
      <c r="O70" s="13"/>
    </row>
    <row r="71" spans="1:15" s="12" customFormat="1" ht="15.75">
      <c r="A71" s="118"/>
      <c r="B71" s="174"/>
      <c r="C71" s="175"/>
      <c r="D71" s="176"/>
      <c r="E71" s="177"/>
      <c r="F71" s="177"/>
      <c r="I71" s="13"/>
      <c r="K71" s="18"/>
      <c r="L71" s="13"/>
      <c r="M71" s="16"/>
      <c r="N71" s="16"/>
      <c r="O71" s="13"/>
    </row>
    <row r="72" spans="1:15" s="12" customFormat="1" ht="15.75">
      <c r="A72" s="118"/>
      <c r="B72" s="174"/>
      <c r="C72" s="175"/>
      <c r="D72" s="176"/>
      <c r="E72" s="177"/>
      <c r="F72" s="177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4"/>
      <c r="C73" s="175"/>
      <c r="D73" s="176"/>
      <c r="E73" s="177"/>
      <c r="F73" s="177"/>
      <c r="I73" s="13"/>
      <c r="K73" s="18"/>
      <c r="L73" s="13"/>
      <c r="M73" s="16"/>
      <c r="N73" s="16"/>
      <c r="O73" s="13"/>
    </row>
    <row r="74" spans="1:15" s="12" customFormat="1" ht="15.75">
      <c r="A74" s="118"/>
      <c r="B74" s="174"/>
      <c r="C74" s="175"/>
      <c r="D74" s="176"/>
      <c r="E74" s="177"/>
      <c r="F74" s="177"/>
      <c r="I74" s="13"/>
      <c r="K74" s="18"/>
      <c r="L74" s="13"/>
      <c r="M74" s="16"/>
      <c r="N74" s="16"/>
      <c r="O74" s="13"/>
    </row>
    <row r="75" spans="1:15" s="12" customFormat="1" ht="15.75">
      <c r="A75" s="118"/>
      <c r="B75" s="174"/>
      <c r="C75" s="175"/>
      <c r="D75" s="176"/>
      <c r="E75" s="177"/>
      <c r="F75" s="177"/>
      <c r="I75" s="13"/>
      <c r="K75" s="18"/>
      <c r="L75" s="13"/>
      <c r="M75" s="16"/>
      <c r="N75" s="16"/>
      <c r="O75" s="13"/>
    </row>
    <row r="76" spans="1:15" s="12" customFormat="1" ht="15.75">
      <c r="A76" s="118"/>
      <c r="B76" s="174"/>
      <c r="C76" s="175"/>
      <c r="D76" s="176"/>
      <c r="E76" s="177"/>
      <c r="F76" s="177"/>
      <c r="I76" s="13"/>
      <c r="K76" s="18"/>
      <c r="L76" s="13"/>
      <c r="M76" s="16"/>
      <c r="N76" s="16"/>
      <c r="O76" s="13"/>
    </row>
    <row r="77" spans="1:15" s="12" customFormat="1" ht="15.75">
      <c r="A77" s="118"/>
      <c r="B77" s="174"/>
      <c r="C77" s="175"/>
      <c r="D77" s="176"/>
      <c r="E77" s="177"/>
      <c r="F77" s="177"/>
      <c r="I77" s="13"/>
      <c r="K77" s="18"/>
      <c r="L77" s="13"/>
      <c r="M77" s="16"/>
      <c r="N77" s="16"/>
      <c r="O77" s="13"/>
    </row>
    <row r="78" spans="1:15" s="12" customFormat="1" ht="15.75">
      <c r="A78" s="118"/>
      <c r="B78" s="174"/>
      <c r="C78" s="175"/>
      <c r="D78" s="176"/>
      <c r="E78" s="177"/>
      <c r="F78" s="177"/>
      <c r="I78" s="13"/>
      <c r="K78" s="18"/>
      <c r="L78" s="13"/>
      <c r="M78" s="16"/>
      <c r="N78" s="16"/>
      <c r="O78" s="13"/>
    </row>
    <row r="79" spans="1:15" s="3" customFormat="1" ht="16.5" thickBot="1">
      <c r="A79" s="874"/>
      <c r="B79" s="874"/>
      <c r="C79" s="20"/>
      <c r="D79" s="63"/>
      <c r="E79" s="21"/>
      <c r="F79" s="22"/>
      <c r="K79" s="17"/>
      <c r="L79" s="7"/>
      <c r="M79" s="14"/>
      <c r="N79" s="14"/>
      <c r="O79" s="7"/>
    </row>
    <row r="80" spans="1:6" ht="12.75">
      <c r="A80" s="850" t="s">
        <v>11</v>
      </c>
      <c r="B80" s="851"/>
      <c r="C80" s="864" t="s">
        <v>12</v>
      </c>
      <c r="D80" s="865"/>
      <c r="E80" s="851"/>
      <c r="F80" s="1" t="s">
        <v>13</v>
      </c>
    </row>
    <row r="81" spans="1:15" ht="12.75">
      <c r="A81" s="852"/>
      <c r="B81" s="853"/>
      <c r="C81" s="861" t="s">
        <v>14</v>
      </c>
      <c r="D81" s="862"/>
      <c r="E81" s="863"/>
      <c r="F81" s="866">
        <f>'dados de entrada'!B3</f>
        <v>41671</v>
      </c>
      <c r="K81"/>
      <c r="L81"/>
      <c r="M81"/>
      <c r="N81"/>
      <c r="O81"/>
    </row>
    <row r="82" spans="1:15" ht="12.75">
      <c r="A82" s="852"/>
      <c r="B82" s="853"/>
      <c r="C82" s="861"/>
      <c r="D82" s="862"/>
      <c r="E82" s="863"/>
      <c r="F82" s="866"/>
      <c r="K82"/>
      <c r="L82"/>
      <c r="M82"/>
      <c r="N82"/>
      <c r="O82"/>
    </row>
    <row r="83" spans="1:15" ht="12.75">
      <c r="A83" s="852"/>
      <c r="B83" s="853"/>
      <c r="C83" s="861"/>
      <c r="D83" s="862"/>
      <c r="E83" s="863"/>
      <c r="F83" s="866"/>
      <c r="K83"/>
      <c r="L83"/>
      <c r="M83"/>
      <c r="N83"/>
      <c r="O83"/>
    </row>
    <row r="84" spans="1:15" ht="34.5" customHeight="1">
      <c r="A84" s="852"/>
      <c r="B84" s="853"/>
      <c r="C84" s="861"/>
      <c r="D84" s="862"/>
      <c r="E84" s="863"/>
      <c r="F84" s="866"/>
      <c r="K84"/>
      <c r="L84"/>
      <c r="M84"/>
      <c r="N84"/>
      <c r="O84"/>
    </row>
    <row r="85" spans="1:15" ht="12.75">
      <c r="A85" s="852"/>
      <c r="B85" s="853"/>
      <c r="C85" s="861"/>
      <c r="D85" s="862"/>
      <c r="E85" s="863"/>
      <c r="F85" s="866"/>
      <c r="K85"/>
      <c r="L85"/>
      <c r="M85"/>
      <c r="N85"/>
      <c r="O85"/>
    </row>
    <row r="86" spans="1:15" ht="13.5" thickBot="1">
      <c r="A86" s="845" t="str">
        <f>'dados de entrada'!B17</f>
        <v>Engenheiro Civil - CREA SC 008.333-3</v>
      </c>
      <c r="B86" s="846"/>
      <c r="C86" s="847"/>
      <c r="D86" s="848"/>
      <c r="E86" s="849"/>
      <c r="F86" s="4"/>
      <c r="K86"/>
      <c r="L86"/>
      <c r="M86"/>
      <c r="N86"/>
      <c r="O86"/>
    </row>
    <row r="87" spans="1:15" ht="12.75">
      <c r="A87" s="850" t="s">
        <v>15</v>
      </c>
      <c r="B87" s="851"/>
      <c r="C87" s="864" t="s">
        <v>12</v>
      </c>
      <c r="D87" s="865"/>
      <c r="E87" s="851"/>
      <c r="F87" s="5"/>
      <c r="K87"/>
      <c r="L87"/>
      <c r="M87"/>
      <c r="N87"/>
      <c r="O87"/>
    </row>
    <row r="88" spans="1:15" ht="12.75" customHeight="1">
      <c r="A88" s="172"/>
      <c r="B88" s="173"/>
      <c r="C88" s="861" t="s">
        <v>14</v>
      </c>
      <c r="D88" s="862"/>
      <c r="E88" s="863"/>
      <c r="F88" s="866">
        <f>'dados de entrada'!B3</f>
        <v>41671</v>
      </c>
      <c r="K88"/>
      <c r="L88"/>
      <c r="M88"/>
      <c r="N88"/>
      <c r="O88"/>
    </row>
    <row r="89" spans="1:15" ht="12.75" customHeight="1">
      <c r="A89" s="172"/>
      <c r="B89" s="173"/>
      <c r="C89" s="861"/>
      <c r="D89" s="862"/>
      <c r="E89" s="863"/>
      <c r="F89" s="866"/>
      <c r="K89"/>
      <c r="L89"/>
      <c r="M89"/>
      <c r="N89"/>
      <c r="O89"/>
    </row>
    <row r="90" spans="1:15" ht="12.75" customHeight="1">
      <c r="A90" s="172"/>
      <c r="B90" s="173"/>
      <c r="C90" s="861"/>
      <c r="D90" s="862"/>
      <c r="E90" s="863"/>
      <c r="F90" s="866"/>
      <c r="K90"/>
      <c r="L90"/>
      <c r="M90"/>
      <c r="N90"/>
      <c r="O90"/>
    </row>
    <row r="91" spans="1:15" ht="39" customHeight="1">
      <c r="A91" s="172"/>
      <c r="B91" s="173"/>
      <c r="C91" s="861"/>
      <c r="D91" s="862"/>
      <c r="E91" s="863"/>
      <c r="F91" s="866"/>
      <c r="K91"/>
      <c r="L91"/>
      <c r="M91"/>
      <c r="N91"/>
      <c r="O91"/>
    </row>
    <row r="92" spans="1:15" ht="12.75" customHeight="1">
      <c r="A92" s="852" t="str">
        <f>'dados de entrada'!B5</f>
        <v>Ana Paula da Silva</v>
      </c>
      <c r="B92" s="853"/>
      <c r="C92" s="861"/>
      <c r="D92" s="862"/>
      <c r="E92" s="863"/>
      <c r="F92" s="866"/>
      <c r="K92"/>
      <c r="L92"/>
      <c r="M92"/>
      <c r="N92"/>
      <c r="O92"/>
    </row>
    <row r="93" spans="1:15" ht="13.5" thickBot="1">
      <c r="A93" s="845" t="s">
        <v>16</v>
      </c>
      <c r="B93" s="846"/>
      <c r="C93" s="847"/>
      <c r="D93" s="848"/>
      <c r="E93" s="849"/>
      <c r="F93" s="2"/>
      <c r="K93"/>
      <c r="L93"/>
      <c r="M93"/>
      <c r="N93"/>
      <c r="O93"/>
    </row>
  </sheetData>
  <sheetProtection/>
  <mergeCells count="93">
    <mergeCell ref="E35:F35"/>
    <mergeCell ref="A81:B85"/>
    <mergeCell ref="A60:B60"/>
    <mergeCell ref="C80:E80"/>
    <mergeCell ref="F81:F85"/>
    <mergeCell ref="C81:E85"/>
    <mergeCell ref="A56:B56"/>
    <mergeCell ref="C61:F61"/>
    <mergeCell ref="C65:F65"/>
    <mergeCell ref="A57:B57"/>
    <mergeCell ref="E32:F32"/>
    <mergeCell ref="E38:F38"/>
    <mergeCell ref="A79:B79"/>
    <mergeCell ref="A58:B58"/>
    <mergeCell ref="A80:B80"/>
    <mergeCell ref="A63:B63"/>
    <mergeCell ref="C63:F63"/>
    <mergeCell ref="E36:F36"/>
    <mergeCell ref="A59:B59"/>
    <mergeCell ref="E54:F54"/>
    <mergeCell ref="F88:F92"/>
    <mergeCell ref="A62:B62"/>
    <mergeCell ref="E37:F37"/>
    <mergeCell ref="E39:F39"/>
    <mergeCell ref="C62:F62"/>
    <mergeCell ref="A64:B64"/>
    <mergeCell ref="E50:F50"/>
    <mergeCell ref="E42:F42"/>
    <mergeCell ref="C58:F58"/>
    <mergeCell ref="A61:B61"/>
    <mergeCell ref="K9:O9"/>
    <mergeCell ref="E28:F28"/>
    <mergeCell ref="E9:F9"/>
    <mergeCell ref="E10:F10"/>
    <mergeCell ref="C88:E92"/>
    <mergeCell ref="C87:E87"/>
    <mergeCell ref="E17:F17"/>
    <mergeCell ref="E30:F30"/>
    <mergeCell ref="E31:F31"/>
    <mergeCell ref="E14:F14"/>
    <mergeCell ref="E27:F27"/>
    <mergeCell ref="E25:F25"/>
    <mergeCell ref="A93:B93"/>
    <mergeCell ref="C93:E93"/>
    <mergeCell ref="A86:B86"/>
    <mergeCell ref="C86:E86"/>
    <mergeCell ref="A87:B87"/>
    <mergeCell ref="A92:B92"/>
    <mergeCell ref="A65:B65"/>
    <mergeCell ref="C57:F57"/>
    <mergeCell ref="A1:F1"/>
    <mergeCell ref="E29:F29"/>
    <mergeCell ref="A3:E3"/>
    <mergeCell ref="E22:F22"/>
    <mergeCell ref="E24:F24"/>
    <mergeCell ref="C8:F8"/>
    <mergeCell ref="E12:F12"/>
    <mergeCell ref="A2:F2"/>
    <mergeCell ref="A4:E4"/>
    <mergeCell ref="E19:F19"/>
    <mergeCell ref="E11:F11"/>
    <mergeCell ref="E15:F15"/>
    <mergeCell ref="E6:F6"/>
    <mergeCell ref="E5:F5"/>
    <mergeCell ref="A7:D7"/>
    <mergeCell ref="B5:D5"/>
    <mergeCell ref="E13:F13"/>
    <mergeCell ref="E23:F23"/>
    <mergeCell ref="E33:F33"/>
    <mergeCell ref="E47:F47"/>
    <mergeCell ref="E43:F43"/>
    <mergeCell ref="E44:F44"/>
    <mergeCell ref="E46:F46"/>
    <mergeCell ref="E26:F26"/>
    <mergeCell ref="E34:F34"/>
    <mergeCell ref="E45:F45"/>
    <mergeCell ref="E41:F41"/>
    <mergeCell ref="E51:F51"/>
    <mergeCell ref="C64:F64"/>
    <mergeCell ref="C56:F56"/>
    <mergeCell ref="E48:F48"/>
    <mergeCell ref="E53:F53"/>
    <mergeCell ref="E40:F40"/>
    <mergeCell ref="C60:F60"/>
    <mergeCell ref="C59:F59"/>
    <mergeCell ref="E49:F49"/>
    <mergeCell ref="E52:F52"/>
    <mergeCell ref="A20:A21"/>
    <mergeCell ref="B20:B21"/>
    <mergeCell ref="C20:C21"/>
    <mergeCell ref="D20:D21"/>
    <mergeCell ref="E16:F16"/>
    <mergeCell ref="E18:F18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showGridLines="0" view="pageBreakPreview" zoomScale="90" zoomScaleSheetLayoutView="90" zoomScalePageLayoutView="0" workbookViewId="0" topLeftCell="A16">
      <selection activeCell="B56" sqref="B56:C56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88.710937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28125" style="583" bestFit="1" customWidth="1"/>
    <col min="12" max="12" width="12.28125" style="585" bestFit="1" customWidth="1"/>
    <col min="15" max="15" width="11.00390625" style="0" bestFit="1" customWidth="1"/>
  </cols>
  <sheetData>
    <row r="1" spans="1:9" ht="36" customHeight="1">
      <c r="A1" s="915"/>
      <c r="B1" s="916"/>
      <c r="C1" s="916"/>
      <c r="D1" s="916"/>
      <c r="E1" s="916"/>
      <c r="F1" s="916"/>
      <c r="G1" s="917"/>
      <c r="H1" s="409"/>
      <c r="I1" s="918" t="s">
        <v>465</v>
      </c>
    </row>
    <row r="2" spans="1:9" ht="36" customHeight="1">
      <c r="A2" s="920" t="s">
        <v>466</v>
      </c>
      <c r="B2" s="921"/>
      <c r="C2" s="921"/>
      <c r="D2" s="921"/>
      <c r="E2" s="921"/>
      <c r="F2" s="921"/>
      <c r="G2" s="922"/>
      <c r="H2" s="410"/>
      <c r="I2" s="919"/>
    </row>
    <row r="3" spans="1:9" ht="13.5" customHeight="1">
      <c r="A3" s="931" t="s">
        <v>467</v>
      </c>
      <c r="B3" s="926" t="str">
        <f>'dados de entrada'!B4</f>
        <v>BOMBINHAS</v>
      </c>
      <c r="C3" s="926"/>
      <c r="D3" s="926"/>
      <c r="E3" s="926"/>
      <c r="F3" s="926"/>
      <c r="G3" s="927"/>
      <c r="H3" s="411"/>
      <c r="I3" s="412" t="s">
        <v>468</v>
      </c>
    </row>
    <row r="4" spans="1:9" ht="12.75" customHeight="1">
      <c r="A4" s="932"/>
      <c r="B4" s="929"/>
      <c r="C4" s="929"/>
      <c r="D4" s="929"/>
      <c r="E4" s="929"/>
      <c r="F4" s="929"/>
      <c r="G4" s="930"/>
      <c r="H4" s="413"/>
      <c r="I4" s="414"/>
    </row>
    <row r="5" spans="1:9" ht="14.25" customHeight="1">
      <c r="A5" s="923" t="s">
        <v>17</v>
      </c>
      <c r="B5" s="925" t="str">
        <f>'dados de entrada'!B8</f>
        <v>PAVIMENTAÇÃO COM LAJOTAS SEXTAVADAS E DRENAGEM PLUVIAL </v>
      </c>
      <c r="C5" s="926"/>
      <c r="D5" s="926"/>
      <c r="E5" s="926"/>
      <c r="F5" s="926"/>
      <c r="G5" s="927"/>
      <c r="H5" s="415"/>
      <c r="I5" s="412" t="s">
        <v>469</v>
      </c>
    </row>
    <row r="6" spans="1:9" ht="18">
      <c r="A6" s="924"/>
      <c r="B6" s="928"/>
      <c r="C6" s="929"/>
      <c r="D6" s="929"/>
      <c r="E6" s="929"/>
      <c r="F6" s="929"/>
      <c r="G6" s="930"/>
      <c r="H6" s="416"/>
      <c r="I6" s="505">
        <f>'dados de entrada'!B3</f>
        <v>41671</v>
      </c>
    </row>
    <row r="7" spans="1:9" ht="15.75" customHeight="1">
      <c r="A7" s="417" t="s">
        <v>200</v>
      </c>
      <c r="B7" s="912" t="str">
        <f>'dados de entrada'!C19</f>
        <v>RUA CABRITO - BAIRRO JOSÉ AMANDIO</v>
      </c>
      <c r="C7" s="913"/>
      <c r="D7" s="913"/>
      <c r="E7" s="913"/>
      <c r="F7" s="913"/>
      <c r="G7" s="913"/>
      <c r="H7" s="913"/>
      <c r="I7" s="914"/>
    </row>
    <row r="8" spans="1:9" ht="15.75">
      <c r="A8" s="890" t="s">
        <v>470</v>
      </c>
      <c r="B8" s="891"/>
      <c r="C8" s="892" t="str">
        <f>'dados de entrada'!B9</f>
        <v>SINAPI - 01/01/2014 - COM DESONERAÇÃO - SICRO 01/11/2013</v>
      </c>
      <c r="D8" s="892"/>
      <c r="E8" s="892"/>
      <c r="F8" s="892"/>
      <c r="G8" s="892"/>
      <c r="H8" s="892"/>
      <c r="I8" s="893"/>
    </row>
    <row r="9" spans="1:9" ht="10.5" customHeight="1" thickBot="1">
      <c r="A9" s="418"/>
      <c r="B9" s="419"/>
      <c r="C9" s="419"/>
      <c r="D9" s="419"/>
      <c r="E9" s="419"/>
      <c r="F9" s="419"/>
      <c r="G9" s="419"/>
      <c r="H9" s="419"/>
      <c r="I9" s="420"/>
    </row>
    <row r="10" spans="1:9" ht="21" customHeight="1">
      <c r="A10" s="910" t="s">
        <v>0</v>
      </c>
      <c r="B10" s="894" t="s">
        <v>471</v>
      </c>
      <c r="C10" s="894" t="s">
        <v>1</v>
      </c>
      <c r="D10" s="894" t="s">
        <v>32</v>
      </c>
      <c r="E10" s="894" t="s">
        <v>148</v>
      </c>
      <c r="F10" s="894" t="s">
        <v>472</v>
      </c>
      <c r="G10" s="894" t="s">
        <v>473</v>
      </c>
      <c r="H10" s="894" t="s">
        <v>474</v>
      </c>
      <c r="I10" s="896" t="s">
        <v>475</v>
      </c>
    </row>
    <row r="11" spans="1:9" ht="20.25" customHeight="1" thickBot="1">
      <c r="A11" s="911"/>
      <c r="B11" s="895"/>
      <c r="C11" s="895"/>
      <c r="D11" s="895"/>
      <c r="E11" s="895"/>
      <c r="F11" s="895"/>
      <c r="G11" s="895"/>
      <c r="H11" s="895"/>
      <c r="I11" s="897"/>
    </row>
    <row r="12" spans="1:9" ht="12.75">
      <c r="A12" s="514" t="str">
        <f>MEMORIAL!A10</f>
        <v>1.0</v>
      </c>
      <c r="B12" s="515"/>
      <c r="C12" s="516" t="str">
        <f>MEMORIAL!B10</f>
        <v>SERVIÇOS INICIAIS</v>
      </c>
      <c r="D12" s="517"/>
      <c r="E12" s="518"/>
      <c r="F12" s="518"/>
      <c r="G12" s="519"/>
      <c r="H12" s="520"/>
      <c r="I12" s="529">
        <f>SUM(I13)</f>
        <v>1372.95</v>
      </c>
    </row>
    <row r="13" spans="1:9" ht="12.75">
      <c r="A13" s="421" t="str">
        <f>MEMORIAL!A11</f>
        <v>1.1</v>
      </c>
      <c r="B13" s="424" t="s">
        <v>152</v>
      </c>
      <c r="C13" s="423" t="str">
        <f>MEMORIAL!B11</f>
        <v>Placa de obra</v>
      </c>
      <c r="D13" s="429" t="str">
        <f>MEMORIAL!C11</f>
        <v>m2</v>
      </c>
      <c r="E13" s="425">
        <f>MEMORIAL!D11</f>
        <v>3</v>
      </c>
      <c r="F13" s="425">
        <v>366.12</v>
      </c>
      <c r="G13" s="426">
        <f>'dados de entrada'!B10</f>
        <v>0.25</v>
      </c>
      <c r="H13" s="427">
        <f>ROUND(F13*(1+G13),2)</f>
        <v>457.65</v>
      </c>
      <c r="I13" s="428">
        <f>ROUND(H13*E13,2)</f>
        <v>1372.95</v>
      </c>
    </row>
    <row r="14" spans="1:9" ht="13.5" thickBot="1">
      <c r="A14" s="530"/>
      <c r="B14" s="531"/>
      <c r="C14" s="532"/>
      <c r="D14" s="533"/>
      <c r="E14" s="534"/>
      <c r="F14" s="534"/>
      <c r="G14" s="535"/>
      <c r="H14" s="536"/>
      <c r="I14" s="537"/>
    </row>
    <row r="15" spans="1:9" ht="12.75">
      <c r="A15" s="514" t="str">
        <f>MEMORIAL!A13</f>
        <v>2.0</v>
      </c>
      <c r="B15" s="515"/>
      <c r="C15" s="516" t="str">
        <f>MEMORIAL!B13</f>
        <v>SERVIÇOS EM DRENAGEM PLUVIAL</v>
      </c>
      <c r="D15" s="539"/>
      <c r="E15" s="518"/>
      <c r="F15" s="518"/>
      <c r="G15" s="519"/>
      <c r="H15" s="540">
        <f>ROUND(F15*(1+G15),2)</f>
        <v>0</v>
      </c>
      <c r="I15" s="529">
        <f>SUM(I16:I27)</f>
        <v>70609.5</v>
      </c>
    </row>
    <row r="16" spans="1:9" ht="12.75">
      <c r="A16" s="421" t="str">
        <f>MEMORIAL!A14</f>
        <v>2.1</v>
      </c>
      <c r="B16" s="424">
        <v>73599</v>
      </c>
      <c r="C16" s="423" t="str">
        <f>MEMORIAL!B14</f>
        <v>Escavação mec. de valas em qualquer tipo de solo, 0,00 a 4,00 m</v>
      </c>
      <c r="D16" s="429" t="str">
        <f>MEMORIAL!C14</f>
        <v>m3</v>
      </c>
      <c r="E16" s="425">
        <f>MEMORIAL!D14</f>
        <v>327</v>
      </c>
      <c r="F16" s="425">
        <v>7.67</v>
      </c>
      <c r="G16" s="426">
        <f>'dados de entrada'!B$10</f>
        <v>0.25</v>
      </c>
      <c r="H16" s="538">
        <f>ROUND(F16*(1+G16),2)</f>
        <v>9.59</v>
      </c>
      <c r="I16" s="428">
        <f>ROUND(H16*E16,2)</f>
        <v>3135.93</v>
      </c>
    </row>
    <row r="17" spans="1:9" ht="12.75">
      <c r="A17" s="421" t="str">
        <f>MEMORIAL!A15</f>
        <v>2.2</v>
      </c>
      <c r="B17" s="424" t="s">
        <v>197</v>
      </c>
      <c r="C17" s="423" t="str">
        <f>MEMORIAL!B15</f>
        <v>Lastro de brita 6 cm x 60 cm</v>
      </c>
      <c r="D17" s="429" t="str">
        <f>MEMORIAL!C15</f>
        <v>m3</v>
      </c>
      <c r="E17" s="425">
        <f>MEMORIAL!D15</f>
        <v>11</v>
      </c>
      <c r="F17" s="425">
        <v>97.19</v>
      </c>
      <c r="G17" s="426">
        <f>'dados de entrada'!B$10</f>
        <v>0.25</v>
      </c>
      <c r="H17" s="538">
        <f>ROUND(F17*(1+G17),2)</f>
        <v>121.49</v>
      </c>
      <c r="I17" s="428">
        <f>ROUND(H17*E17,2)</f>
        <v>1336.39</v>
      </c>
    </row>
    <row r="18" spans="1:9" ht="12.75">
      <c r="A18" s="421" t="str">
        <f>MEMORIAL!A16</f>
        <v>2.3</v>
      </c>
      <c r="B18" s="424">
        <v>73730</v>
      </c>
      <c r="C18" s="423" t="str">
        <f>MEMORIAL!B16</f>
        <v>Assentamento de tubos de concreto diametro de 30 cm., armado ou simples</v>
      </c>
      <c r="D18" s="429" t="str">
        <f>MEMORIAL!C16</f>
        <v>m</v>
      </c>
      <c r="E18" s="425">
        <f>MEMORIAL!D16</f>
        <v>116</v>
      </c>
      <c r="F18" s="425">
        <v>10.5</v>
      </c>
      <c r="G18" s="426">
        <f>'dados de entrada'!B$10</f>
        <v>0.25</v>
      </c>
      <c r="H18" s="538">
        <f>ROUND(F18*(1+G18),2)</f>
        <v>13.13</v>
      </c>
      <c r="I18" s="428">
        <f>ROUND(H18*E18,2)</f>
        <v>1523.08</v>
      </c>
    </row>
    <row r="19" spans="1:11" ht="12.75" customHeight="1">
      <c r="A19" s="421" t="str">
        <f>MEMORIAL!A17</f>
        <v>2.4</v>
      </c>
      <c r="B19" s="424">
        <v>7790</v>
      </c>
      <c r="C19" s="423" t="str">
        <f>MEMORIAL!B17</f>
        <v>Tubo de concreto simples classe - PS2 - NBR-8890 de Ø 30 cm, para águas pluviais</v>
      </c>
      <c r="D19" s="429" t="str">
        <f>MEMORIAL!C17</f>
        <v>m</v>
      </c>
      <c r="E19" s="425">
        <f>MEMORIAL!D17</f>
        <v>116</v>
      </c>
      <c r="F19" s="425">
        <v>19.6</v>
      </c>
      <c r="G19" s="426">
        <f>'dados de entrada'!B$10</f>
        <v>0.25</v>
      </c>
      <c r="H19" s="538">
        <f aca="true" t="shared" si="0" ref="H19:H27">ROUND(F19*(1+G19),2)</f>
        <v>24.5</v>
      </c>
      <c r="I19" s="428">
        <f aca="true" t="shared" si="1" ref="I19:I27">ROUND(H19*E19,2)</f>
        <v>2842</v>
      </c>
      <c r="K19" s="585"/>
    </row>
    <row r="20" spans="1:11" ht="12.75" customHeight="1">
      <c r="A20" s="421" t="str">
        <f>MEMORIAL!A18</f>
        <v>2.5</v>
      </c>
      <c r="B20" s="424">
        <v>73724</v>
      </c>
      <c r="C20" s="423" t="str">
        <f>MEMORIAL!B18</f>
        <v>Assentamento de tubos de concreto diametro de 40 cm., armado ou simples</v>
      </c>
      <c r="D20" s="429" t="str">
        <f>MEMORIAL!C18</f>
        <v>m</v>
      </c>
      <c r="E20" s="425">
        <f>MEMORIAL!D18</f>
        <v>285</v>
      </c>
      <c r="F20" s="425">
        <v>14.95</v>
      </c>
      <c r="G20" s="426">
        <f>'dados de entrada'!B$10</f>
        <v>0.25</v>
      </c>
      <c r="H20" s="538">
        <f>ROUND(F20*(1+G20),2)</f>
        <v>18.69</v>
      </c>
      <c r="I20" s="428">
        <f>ROUND(H20*E20,2)</f>
        <v>5326.65</v>
      </c>
      <c r="K20" s="585"/>
    </row>
    <row r="21" spans="1:11" ht="12.75">
      <c r="A21" s="421" t="str">
        <f>MEMORIAL!A19</f>
        <v>2.6</v>
      </c>
      <c r="B21" s="424">
        <v>7761</v>
      </c>
      <c r="C21" s="423" t="str">
        <f>MEMORIAL!B19</f>
        <v>Tubo de concreto armado classe - PA2 PB NBR-8890/2007 de Ø 40 cm, para águas pluviais</v>
      </c>
      <c r="D21" s="429" t="str">
        <f>MEMORIAL!C19</f>
        <v>m</v>
      </c>
      <c r="E21" s="425">
        <f>MEMORIAL!D19</f>
        <v>285</v>
      </c>
      <c r="F21" s="425">
        <v>57.17</v>
      </c>
      <c r="G21" s="426">
        <f>'dados de entrada'!B$10</f>
        <v>0.25</v>
      </c>
      <c r="H21" s="538">
        <f t="shared" si="0"/>
        <v>71.46</v>
      </c>
      <c r="I21" s="428">
        <f t="shared" si="1"/>
        <v>20366.1</v>
      </c>
      <c r="K21" s="585"/>
    </row>
    <row r="22" spans="1:9" ht="12.75">
      <c r="A22" s="421" t="s">
        <v>199</v>
      </c>
      <c r="B22" s="424" t="s">
        <v>553</v>
      </c>
      <c r="C22" s="423" t="str">
        <f>MEMORIAL!B20</f>
        <v>Fornecimento e colocação de manta geotextil 200 g/m2, largura = 30 cm</v>
      </c>
      <c r="D22" s="429" t="str">
        <f>MEMORIAL!C20</f>
        <v>m2</v>
      </c>
      <c r="E22" s="425">
        <f>MEMORIAL!D20</f>
        <v>217</v>
      </c>
      <c r="F22" s="425">
        <v>5.77</v>
      </c>
      <c r="G22" s="426">
        <f>'dados de entrada'!B$10</f>
        <v>0.25</v>
      </c>
      <c r="H22" s="538">
        <f t="shared" si="0"/>
        <v>7.21</v>
      </c>
      <c r="I22" s="428">
        <f t="shared" si="1"/>
        <v>1564.57</v>
      </c>
    </row>
    <row r="23" spans="1:9" ht="12.75">
      <c r="A23" s="421" t="s">
        <v>388</v>
      </c>
      <c r="B23" s="424">
        <v>72920</v>
      </c>
      <c r="C23" s="423" t="str">
        <f>MEMORIAL!B22</f>
        <v>Reaterro de vala com material granular reaproveitado adensado e vibrado</v>
      </c>
      <c r="D23" s="429" t="str">
        <f>MEMORIAL!C22</f>
        <v>m3</v>
      </c>
      <c r="E23" s="425">
        <f>MEMORIAL!D22</f>
        <v>250</v>
      </c>
      <c r="F23" s="425">
        <v>12.82</v>
      </c>
      <c r="G23" s="426">
        <f>'dados de entrada'!B$10</f>
        <v>0.25</v>
      </c>
      <c r="H23" s="538">
        <f t="shared" si="0"/>
        <v>16.03</v>
      </c>
      <c r="I23" s="428">
        <f t="shared" si="1"/>
        <v>4007.5</v>
      </c>
    </row>
    <row r="24" spans="1:9" ht="12.75">
      <c r="A24" s="421" t="s">
        <v>389</v>
      </c>
      <c r="B24" s="424">
        <v>72208</v>
      </c>
      <c r="C24" s="423" t="str">
        <f>MEMORIAL!B23</f>
        <v>Carga mecanizada e remoção de excedentes com transporte até 1 km</v>
      </c>
      <c r="D24" s="429" t="str">
        <f>MEMORIAL!C23</f>
        <v>m3</v>
      </c>
      <c r="E24" s="425">
        <f>MEMORIAL!D23</f>
        <v>77</v>
      </c>
      <c r="F24" s="425">
        <v>5.91</v>
      </c>
      <c r="G24" s="426">
        <f>'dados de entrada'!B$10</f>
        <v>0.25</v>
      </c>
      <c r="H24" s="538">
        <f t="shared" si="0"/>
        <v>7.39</v>
      </c>
      <c r="I24" s="428">
        <f t="shared" si="1"/>
        <v>569.03</v>
      </c>
    </row>
    <row r="25" spans="1:9" ht="12.75" customHeight="1">
      <c r="A25" s="421" t="s">
        <v>390</v>
      </c>
      <c r="B25" s="424" t="s">
        <v>554</v>
      </c>
      <c r="C25" s="423" t="str">
        <f>MEMORIAL!B24</f>
        <v>Poço de visita Ø 40/60 cm - simples</v>
      </c>
      <c r="D25" s="429" t="str">
        <f>MEMORIAL!C24</f>
        <v>und</v>
      </c>
      <c r="E25" s="425">
        <f>MEMORIAL!D24</f>
        <v>7</v>
      </c>
      <c r="F25" s="425">
        <f>'PV Ø40 e Ø 60'!F43</f>
        <v>879.0333099999999</v>
      </c>
      <c r="G25" s="426">
        <f>'dados de entrada'!B$10</f>
        <v>0.25</v>
      </c>
      <c r="H25" s="538">
        <f t="shared" si="0"/>
        <v>1098.79</v>
      </c>
      <c r="I25" s="428">
        <f t="shared" si="1"/>
        <v>7691.53</v>
      </c>
    </row>
    <row r="26" spans="1:9" ht="12.75" customHeight="1">
      <c r="A26" s="421" t="s">
        <v>589</v>
      </c>
      <c r="B26" s="424" t="s">
        <v>554</v>
      </c>
      <c r="C26" s="423" t="str">
        <f>MEMORIAL!B25</f>
        <v>Caixa de ligação Ø 40/60 cm - simples</v>
      </c>
      <c r="D26" s="429" t="str">
        <f>MEMORIAL!C25</f>
        <v>und</v>
      </c>
      <c r="E26" s="425">
        <f>MEMORIAL!D25</f>
        <v>4</v>
      </c>
      <c r="F26" s="425">
        <f>'CL Ø40 e Ø 60'!F43</f>
        <v>730.4119099999999</v>
      </c>
      <c r="G26" s="426">
        <f>'dados de entrada'!B$10</f>
        <v>0.25</v>
      </c>
      <c r="H26" s="538">
        <f t="shared" si="0"/>
        <v>913.01</v>
      </c>
      <c r="I26" s="428">
        <f t="shared" si="1"/>
        <v>3652.04</v>
      </c>
    </row>
    <row r="27" spans="1:9" ht="12.75">
      <c r="A27" s="421" t="s">
        <v>590</v>
      </c>
      <c r="B27" s="424">
        <v>83659</v>
      </c>
      <c r="C27" s="423" t="str">
        <f>MEMORIAL!B26</f>
        <v>Boca de lobo</v>
      </c>
      <c r="D27" s="429" t="str">
        <f>MEMORIAL!C26</f>
        <v>und</v>
      </c>
      <c r="E27" s="425">
        <f>MEMORIAL!D26</f>
        <v>26</v>
      </c>
      <c r="F27" s="425">
        <v>572.14</v>
      </c>
      <c r="G27" s="426">
        <f>'dados de entrada'!B$10</f>
        <v>0.25</v>
      </c>
      <c r="H27" s="538">
        <f t="shared" si="0"/>
        <v>715.18</v>
      </c>
      <c r="I27" s="428">
        <f t="shared" si="1"/>
        <v>18594.68</v>
      </c>
    </row>
    <row r="28" spans="1:9" ht="13.5" thickBot="1">
      <c r="A28" s="530"/>
      <c r="B28" s="531"/>
      <c r="C28" s="532"/>
      <c r="D28" s="533"/>
      <c r="E28" s="534"/>
      <c r="F28" s="534"/>
      <c r="G28" s="535"/>
      <c r="H28" s="552"/>
      <c r="I28" s="537"/>
    </row>
    <row r="29" spans="1:9" ht="12.75">
      <c r="A29" s="514" t="str">
        <f>MEMORIAL!A28</f>
        <v>3.0</v>
      </c>
      <c r="B29" s="515"/>
      <c r="C29" s="516" t="str">
        <f>MEMORIAL!B28</f>
        <v>PAVIMENTAÇÃO COM LAJOTAS SEXTAVADAS</v>
      </c>
      <c r="D29" s="539"/>
      <c r="E29" s="518"/>
      <c r="F29" s="518"/>
      <c r="G29" s="519"/>
      <c r="H29" s="540"/>
      <c r="I29" s="529">
        <f>SUM(I30:I32)</f>
        <v>221997.21000000002</v>
      </c>
    </row>
    <row r="30" spans="1:9" ht="12.75">
      <c r="A30" s="421" t="str">
        <f>MEMORIAL!A29</f>
        <v>3.1</v>
      </c>
      <c r="B30" s="424" t="s">
        <v>557</v>
      </c>
      <c r="C30" s="423" t="str">
        <f>MEMORIAL!B29</f>
        <v>Regularização e compactação de até 20 cm</v>
      </c>
      <c r="D30" s="429" t="str">
        <f>MEMORIAL!C29</f>
        <v>m2</v>
      </c>
      <c r="E30" s="425">
        <f>MEMORIAL!D29</f>
        <v>3276.9</v>
      </c>
      <c r="F30" s="425">
        <v>1.38</v>
      </c>
      <c r="G30" s="426">
        <f>'dados de entrada'!B$10</f>
        <v>0.25</v>
      </c>
      <c r="H30" s="538">
        <f>ROUND(F30*(1+G30),2)</f>
        <v>1.73</v>
      </c>
      <c r="I30" s="428">
        <f>ROUND(H30*E30,2)</f>
        <v>5669.04</v>
      </c>
    </row>
    <row r="31" spans="1:9" ht="12.75">
      <c r="A31" s="421" t="str">
        <f>MEMORIAL!A30</f>
        <v>3.2</v>
      </c>
      <c r="B31" s="424" t="s">
        <v>157</v>
      </c>
      <c r="C31" s="423" t="str">
        <f>MEMORIAL!B30</f>
        <v>Colocação de meio-fio externo (12x15x30x80) - incluindo rejunte e reaterro - fck=25Mpa</v>
      </c>
      <c r="D31" s="429" t="str">
        <f>MEMORIAL!C30</f>
        <v>m</v>
      </c>
      <c r="E31" s="425">
        <f>MEMORIAL!D30</f>
        <v>794</v>
      </c>
      <c r="F31" s="425">
        <v>29.5</v>
      </c>
      <c r="G31" s="426">
        <f>'dados de entrada'!B$10</f>
        <v>0.25</v>
      </c>
      <c r="H31" s="538">
        <f>ROUND(F31*(1+G31),2)</f>
        <v>36.88</v>
      </c>
      <c r="I31" s="428">
        <f>ROUND(H31*E31,2)</f>
        <v>29282.72</v>
      </c>
    </row>
    <row r="32" spans="1:11" ht="12.75">
      <c r="A32" s="421" t="str">
        <f>MEMORIAL!A31</f>
        <v>3.3</v>
      </c>
      <c r="B32" s="424" t="s">
        <v>307</v>
      </c>
      <c r="C32" s="423" t="str">
        <f>MEMORIAL!B31</f>
        <v>Pavimentação com lajotas sextavadas - (30 cm x 30 cm x 8 cm) - fck=35 </v>
      </c>
      <c r="D32" s="429" t="str">
        <f>MEMORIAL!C31</f>
        <v>m2</v>
      </c>
      <c r="E32" s="425">
        <f>MEMORIAL!D31</f>
        <v>3276.9</v>
      </c>
      <c r="F32" s="425">
        <v>45.66</v>
      </c>
      <c r="G32" s="426">
        <f>'dados de entrada'!B$10</f>
        <v>0.25</v>
      </c>
      <c r="H32" s="538">
        <f>ROUND(F32*(1+G32),2)</f>
        <v>57.08</v>
      </c>
      <c r="I32" s="428">
        <f>ROUND(H32*E32,2)</f>
        <v>187045.45</v>
      </c>
      <c r="K32" s="585"/>
    </row>
    <row r="33" spans="1:9" ht="13.5" thickBot="1">
      <c r="A33" s="521"/>
      <c r="B33" s="522"/>
      <c r="C33" s="523"/>
      <c r="D33" s="524"/>
      <c r="E33" s="525"/>
      <c r="F33" s="525"/>
      <c r="G33" s="526"/>
      <c r="H33" s="541"/>
      <c r="I33" s="528"/>
    </row>
    <row r="34" spans="1:9" ht="12.75">
      <c r="A34" s="514" t="str">
        <f>MEMORIAL!A33</f>
        <v>4.0</v>
      </c>
      <c r="B34" s="515"/>
      <c r="C34" s="516" t="str">
        <f>MEMORIAL!B33</f>
        <v>PAVIMENTAÇÃO PASSEIO</v>
      </c>
      <c r="D34" s="539"/>
      <c r="E34" s="518"/>
      <c r="F34" s="518"/>
      <c r="G34" s="519"/>
      <c r="H34" s="520"/>
      <c r="I34" s="529">
        <f>SUM(I35:I40)</f>
        <v>51759.93</v>
      </c>
    </row>
    <row r="35" spans="1:11" ht="12.75">
      <c r="A35" s="421" t="str">
        <f>MEMORIAL!A34</f>
        <v>4.1</v>
      </c>
      <c r="B35" s="424">
        <v>6081</v>
      </c>
      <c r="C35" s="509" t="str">
        <f>MEMORIAL!B34</f>
        <v>Material para aterro/reaterro (barro, argila ou saibro) - com transporte até 10 km</v>
      </c>
      <c r="D35" s="429" t="str">
        <f>MEMORIAL!C34</f>
        <v>m3</v>
      </c>
      <c r="E35" s="425">
        <f>MEMORIAL!D34</f>
        <v>47</v>
      </c>
      <c r="F35" s="640">
        <v>18.41</v>
      </c>
      <c r="G35" s="426">
        <f>'dados de entrada'!B$10</f>
        <v>0.25</v>
      </c>
      <c r="H35" s="538">
        <f aca="true" t="shared" si="2" ref="H35:H40">ROUND(F35*(1+G35),2)</f>
        <v>23.01</v>
      </c>
      <c r="I35" s="428">
        <f aca="true" t="shared" si="3" ref="I35:I40">ROUND(H35*E35,2)</f>
        <v>1081.47</v>
      </c>
      <c r="K35" s="585"/>
    </row>
    <row r="36" spans="1:11" ht="12.75">
      <c r="A36" s="421" t="str">
        <f>MEMORIAL!A35</f>
        <v>4.2</v>
      </c>
      <c r="B36" s="424">
        <v>5622</v>
      </c>
      <c r="C36" s="509" t="str">
        <f>MEMORIAL!B35</f>
        <v>Regularização e compactação manual de terreno com soquete</v>
      </c>
      <c r="D36" s="429" t="str">
        <f>MEMORIAL!C35</f>
        <v>m2</v>
      </c>
      <c r="E36" s="425">
        <f>MEMORIAL!D35</f>
        <v>934.8</v>
      </c>
      <c r="F36" s="425">
        <v>2.91</v>
      </c>
      <c r="G36" s="426">
        <f>'dados de entrada'!B$10</f>
        <v>0.25</v>
      </c>
      <c r="H36" s="538">
        <f>ROUND(F36*(1+G36),2)</f>
        <v>3.64</v>
      </c>
      <c r="I36" s="428">
        <f>ROUND(H36*E36,2)</f>
        <v>3402.67</v>
      </c>
      <c r="K36" s="585"/>
    </row>
    <row r="37" spans="1:9" ht="12.75">
      <c r="A37" s="421" t="str">
        <f>MEMORIAL!A36</f>
        <v>4.3</v>
      </c>
      <c r="B37" s="424" t="s">
        <v>157</v>
      </c>
      <c r="C37" s="509" t="str">
        <f>MEMORIAL!B36</f>
        <v>Meio-fio interno 15 x 30 x 80 cm - incluindo rejunte e reaterro - fck=25 MPa</v>
      </c>
      <c r="D37" s="429" t="str">
        <f>MEMORIAL!C36</f>
        <v>m</v>
      </c>
      <c r="E37" s="425">
        <f>MEMORIAL!D36</f>
        <v>775</v>
      </c>
      <c r="F37" s="425">
        <v>2.91</v>
      </c>
      <c r="G37" s="426">
        <f>'dados de entrada'!B$10</f>
        <v>0.25</v>
      </c>
      <c r="H37" s="538">
        <f t="shared" si="2"/>
        <v>3.64</v>
      </c>
      <c r="I37" s="428">
        <f t="shared" si="3"/>
        <v>2821</v>
      </c>
    </row>
    <row r="38" spans="1:11" ht="12.75">
      <c r="A38" s="421" t="str">
        <f>MEMORIAL!A37</f>
        <v>4.4</v>
      </c>
      <c r="B38" s="424" t="s">
        <v>554</v>
      </c>
      <c r="C38" s="509" t="str">
        <f>MEMORIAL!B37</f>
        <v>Pavimento intertravado paver holand cinza 20 x 10 x 6 cm fck=35 MPa</v>
      </c>
      <c r="D38" s="429" t="str">
        <f>MEMORIAL!C37</f>
        <v>m2</v>
      </c>
      <c r="E38" s="425">
        <f>MEMORIAL!D37</f>
        <v>733.3</v>
      </c>
      <c r="F38" s="425">
        <f>PAVER!F41</f>
        <v>36.4898</v>
      </c>
      <c r="G38" s="426">
        <f>'dados de entrada'!B$10</f>
        <v>0.25</v>
      </c>
      <c r="H38" s="538">
        <f t="shared" si="2"/>
        <v>45.61</v>
      </c>
      <c r="I38" s="428">
        <f t="shared" si="3"/>
        <v>33445.81</v>
      </c>
      <c r="K38" s="585"/>
    </row>
    <row r="39" spans="1:11" ht="12.75">
      <c r="A39" s="421" t="str">
        <f>MEMORIAL!A38</f>
        <v>4.5</v>
      </c>
      <c r="B39" s="424" t="s">
        <v>554</v>
      </c>
      <c r="C39" s="509" t="str">
        <f>MEMORIAL!B38</f>
        <v>Sinalização tátil direcional 20 x 20 x 6 cm fck=35 MPa</v>
      </c>
      <c r="D39" s="429" t="str">
        <f>MEMORIAL!C38</f>
        <v>m2</v>
      </c>
      <c r="E39" s="425">
        <f>MEMORIAL!D38</f>
        <v>146.4</v>
      </c>
      <c r="F39" s="425">
        <f>TATIL!F43</f>
        <v>57.7523</v>
      </c>
      <c r="G39" s="426">
        <f>'dados de entrada'!B$10</f>
        <v>0.25</v>
      </c>
      <c r="H39" s="538">
        <f t="shared" si="2"/>
        <v>72.19</v>
      </c>
      <c r="I39" s="428">
        <f t="shared" si="3"/>
        <v>10568.62</v>
      </c>
      <c r="K39" s="585"/>
    </row>
    <row r="40" spans="1:11" ht="12.75">
      <c r="A40" s="421" t="str">
        <f>MEMORIAL!A39</f>
        <v>4.6</v>
      </c>
      <c r="B40" s="424" t="s">
        <v>554</v>
      </c>
      <c r="C40" s="509" t="str">
        <f>MEMORIAL!B39</f>
        <v>Sinalização tátil de alerta 20 x 20 x 6 cm fck=35 MPa</v>
      </c>
      <c r="D40" s="429" t="str">
        <f>MEMORIAL!C39</f>
        <v>m2</v>
      </c>
      <c r="E40" s="425">
        <f>MEMORIAL!D39</f>
        <v>6.1</v>
      </c>
      <c r="F40" s="534">
        <f>TATIL!F43</f>
        <v>57.7523</v>
      </c>
      <c r="G40" s="426">
        <f>'dados de entrada'!B$10</f>
        <v>0.25</v>
      </c>
      <c r="H40" s="538">
        <f t="shared" si="2"/>
        <v>72.19</v>
      </c>
      <c r="I40" s="428">
        <f t="shared" si="3"/>
        <v>440.36</v>
      </c>
      <c r="K40" s="585"/>
    </row>
    <row r="41" spans="1:9" ht="13.5" thickBot="1">
      <c r="A41" s="521"/>
      <c r="B41" s="522"/>
      <c r="C41" s="553"/>
      <c r="D41" s="524"/>
      <c r="E41" s="525"/>
      <c r="F41" s="525"/>
      <c r="G41" s="526"/>
      <c r="H41" s="527"/>
      <c r="I41" s="528"/>
    </row>
    <row r="42" spans="1:9" ht="12.75">
      <c r="A42" s="514" t="str">
        <f>MEMORIAL!A41</f>
        <v>5.0</v>
      </c>
      <c r="B42" s="515"/>
      <c r="C42" s="516" t="str">
        <f>MEMORIAL!B41</f>
        <v>RAMPA ACESSO PASSEIO DEFICIENTE FÍSICO</v>
      </c>
      <c r="D42" s="539"/>
      <c r="E42" s="518"/>
      <c r="F42" s="518"/>
      <c r="G42" s="519"/>
      <c r="H42" s="520"/>
      <c r="I42" s="529">
        <f>SUM(I43:I45)</f>
        <v>1395.54</v>
      </c>
    </row>
    <row r="43" spans="1:15" ht="12.75">
      <c r="A43" s="507" t="s">
        <v>444</v>
      </c>
      <c r="B43" s="424" t="s">
        <v>35</v>
      </c>
      <c r="C43" s="509" t="str">
        <f>MEMORIAL!B42</f>
        <v>Concreto simples h=7 cm, virado em betoneira fck=20 MPa</v>
      </c>
      <c r="D43" s="510" t="str">
        <f>MEMORIAL!C42</f>
        <v>m3</v>
      </c>
      <c r="E43" s="511">
        <f>MEMORIAL!D42</f>
        <v>3</v>
      </c>
      <c r="F43" s="511">
        <v>353.6</v>
      </c>
      <c r="G43" s="512">
        <f>'dados de entrada'!B$10</f>
        <v>0.25</v>
      </c>
      <c r="H43" s="538">
        <f>ROUND(F43*(1+G43),2)</f>
        <v>442</v>
      </c>
      <c r="I43" s="428">
        <f>ROUND(H43*E43,2)</f>
        <v>1326</v>
      </c>
      <c r="O43" s="6"/>
    </row>
    <row r="44" spans="1:9" ht="12.75">
      <c r="A44" s="507" t="s">
        <v>445</v>
      </c>
      <c r="B44" s="424">
        <v>72947</v>
      </c>
      <c r="C44" s="509" t="str">
        <f>MEMORIAL!B43</f>
        <v>Pintura símbolo Deficiente Físico - Cor fundo azul 60 x 60 cm</v>
      </c>
      <c r="D44" s="510" t="str">
        <f>MEMORIAL!C43</f>
        <v>m2</v>
      </c>
      <c r="E44" s="511">
        <f>MEMORIAL!D43</f>
        <v>2.9</v>
      </c>
      <c r="F44" s="511">
        <v>17.38</v>
      </c>
      <c r="G44" s="512">
        <f>'dados de entrada'!B$10</f>
        <v>0.25</v>
      </c>
      <c r="H44" s="538">
        <f>ROUND(F44*(1+G44),2)</f>
        <v>21.73</v>
      </c>
      <c r="I44" s="428">
        <f>ROUND(H44*E44,2)</f>
        <v>63.02</v>
      </c>
    </row>
    <row r="45" spans="1:9" ht="12.75">
      <c r="A45" s="507" t="s">
        <v>446</v>
      </c>
      <c r="B45" s="424">
        <v>72947</v>
      </c>
      <c r="C45" s="509" t="str">
        <f>MEMORIAL!B44</f>
        <v>Pintura símbolo Deficiente Físico - Pictograma cor branca</v>
      </c>
      <c r="D45" s="510" t="str">
        <f>MEMORIAL!C44</f>
        <v>m2</v>
      </c>
      <c r="E45" s="511">
        <f>MEMORIAL!D44</f>
        <v>0.3</v>
      </c>
      <c r="F45" s="511">
        <v>17.38</v>
      </c>
      <c r="G45" s="512">
        <f>'dados de entrada'!B$10</f>
        <v>0.25</v>
      </c>
      <c r="H45" s="538">
        <f>ROUND(F45*(1+G45),2)</f>
        <v>21.73</v>
      </c>
      <c r="I45" s="428">
        <f>ROUND(H45*E45,2)</f>
        <v>6.52</v>
      </c>
    </row>
    <row r="46" spans="1:9" ht="13.5" thickBot="1">
      <c r="A46" s="554"/>
      <c r="B46" s="555"/>
      <c r="C46" s="553"/>
      <c r="D46" s="556"/>
      <c r="E46" s="557"/>
      <c r="F46" s="557"/>
      <c r="G46" s="558"/>
      <c r="H46" s="559"/>
      <c r="I46" s="560"/>
    </row>
    <row r="47" spans="1:9" ht="12.75">
      <c r="A47" s="514" t="str">
        <f>MEMORIAL!A46</f>
        <v>6.0</v>
      </c>
      <c r="B47" s="508"/>
      <c r="C47" s="516" t="str">
        <f>MEMORIAL!B46</f>
        <v>SINALIZAÇÃO</v>
      </c>
      <c r="D47" s="510"/>
      <c r="E47" s="511"/>
      <c r="F47" s="511"/>
      <c r="G47" s="512"/>
      <c r="H47" s="513"/>
      <c r="I47" s="529">
        <f>SUM(I48:I54)</f>
        <v>5303.830000000001</v>
      </c>
    </row>
    <row r="48" spans="1:9" ht="12.75">
      <c r="A48" s="507" t="s">
        <v>448</v>
      </c>
      <c r="B48" s="424">
        <v>72947</v>
      </c>
      <c r="C48" s="509" t="str">
        <f>MEMORIAL!B47</f>
        <v>Pintura faixa de travessia de pedestres zebrada - FTP-1 cor branca</v>
      </c>
      <c r="D48" s="510" t="str">
        <f>MEMORIAL!C47</f>
        <v>m2</v>
      </c>
      <c r="E48" s="511">
        <f>MEMORIAL!D47</f>
        <v>50.300000000000004</v>
      </c>
      <c r="F48" s="511">
        <v>17.38</v>
      </c>
      <c r="G48" s="512">
        <f>'dados de entrada'!B$10</f>
        <v>0.25</v>
      </c>
      <c r="H48" s="538">
        <f aca="true" t="shared" si="4" ref="H48:H54">ROUND(F48*(1+G48),2)</f>
        <v>21.73</v>
      </c>
      <c r="I48" s="428">
        <f aca="true" t="shared" si="5" ref="I48:I54">ROUND(H48*E48,2)</f>
        <v>1093.02</v>
      </c>
    </row>
    <row r="49" spans="1:9" ht="12.75">
      <c r="A49" s="507" t="s">
        <v>449</v>
      </c>
      <c r="B49" s="424" t="s">
        <v>415</v>
      </c>
      <c r="C49" s="509" t="str">
        <f>MEMORIAL!B48</f>
        <v>Placa de regulamentação R-1 - (Parada obrigatória)*</v>
      </c>
      <c r="D49" s="510" t="str">
        <f>MEMORIAL!C48</f>
        <v>m2</v>
      </c>
      <c r="E49" s="511">
        <f>MEMORIAL!D48</f>
        <v>1.5</v>
      </c>
      <c r="F49" s="511">
        <v>298.25</v>
      </c>
      <c r="G49" s="512">
        <f>'dados de entrada'!B$10</f>
        <v>0.25</v>
      </c>
      <c r="H49" s="538">
        <f t="shared" si="4"/>
        <v>372.81</v>
      </c>
      <c r="I49" s="428">
        <f t="shared" si="5"/>
        <v>559.22</v>
      </c>
    </row>
    <row r="50" spans="1:9" ht="12.75">
      <c r="A50" s="507" t="s">
        <v>450</v>
      </c>
      <c r="B50" s="424" t="s">
        <v>415</v>
      </c>
      <c r="C50" s="509" t="str">
        <f>MEMORIAL!B49</f>
        <v>Placa regulamentadora R-19- (Velocidade maxima permitida)*</v>
      </c>
      <c r="D50" s="510" t="str">
        <f>MEMORIAL!C49</f>
        <v>m2</v>
      </c>
      <c r="E50" s="511">
        <f>MEMORIAL!D49</f>
        <v>1.2</v>
      </c>
      <c r="F50" s="511">
        <v>298.25</v>
      </c>
      <c r="G50" s="512">
        <f>'dados de entrada'!B$10</f>
        <v>0.25</v>
      </c>
      <c r="H50" s="538">
        <f t="shared" si="4"/>
        <v>372.81</v>
      </c>
      <c r="I50" s="428">
        <f t="shared" si="5"/>
        <v>447.37</v>
      </c>
    </row>
    <row r="51" spans="1:9" ht="12.75">
      <c r="A51" s="507" t="s">
        <v>452</v>
      </c>
      <c r="B51" s="424" t="s">
        <v>415</v>
      </c>
      <c r="C51" s="509" t="str">
        <f>MEMORIAL!B50</f>
        <v>Placa de advertência A-32b - (Passagem sinalizada de pedestres)*</v>
      </c>
      <c r="D51" s="510" t="str">
        <f>MEMORIAL!C50</f>
        <v>m2</v>
      </c>
      <c r="E51" s="511">
        <f>MEMORIAL!D50</f>
        <v>2.9</v>
      </c>
      <c r="F51" s="511">
        <v>298.25</v>
      </c>
      <c r="G51" s="512">
        <f>'dados de entrada'!B$10</f>
        <v>0.25</v>
      </c>
      <c r="H51" s="538">
        <f t="shared" si="4"/>
        <v>372.81</v>
      </c>
      <c r="I51" s="428">
        <f t="shared" si="5"/>
        <v>1081.15</v>
      </c>
    </row>
    <row r="52" spans="1:9" ht="12.75">
      <c r="A52" s="507" t="s">
        <v>457</v>
      </c>
      <c r="B52" s="424" t="s">
        <v>415</v>
      </c>
      <c r="C52" s="509" t="str">
        <f>MEMORIAL!B51</f>
        <v>Placa de advertência A-45 - (Rua sem saída)*</v>
      </c>
      <c r="D52" s="510" t="str">
        <f>MEMORIAL!C51</f>
        <v>m2</v>
      </c>
      <c r="E52" s="511">
        <f>MEMORIAL!D51</f>
        <v>0.3</v>
      </c>
      <c r="F52" s="511">
        <v>298.25</v>
      </c>
      <c r="G52" s="512">
        <f>'dados de entrada'!B$10</f>
        <v>0.25</v>
      </c>
      <c r="H52" s="538">
        <f t="shared" si="4"/>
        <v>372.81</v>
      </c>
      <c r="I52" s="428">
        <f t="shared" si="5"/>
        <v>111.84</v>
      </c>
    </row>
    <row r="53" spans="1:9" ht="12.75">
      <c r="A53" s="507" t="s">
        <v>459</v>
      </c>
      <c r="B53" s="424">
        <v>7698</v>
      </c>
      <c r="C53" s="509" t="str">
        <f>MEMORIAL!B52</f>
        <v>Tubo de aço galvanizado c/ costura DIN 2440/NBR 5580 classe media DN 1.1/4" (32mm) e=3,25mm - 3,14kg/m</v>
      </c>
      <c r="D53" s="510" t="str">
        <f>MEMORIAL!C52</f>
        <v>m</v>
      </c>
      <c r="E53" s="511">
        <f>MEMORIAL!D52</f>
        <v>55.800000000000004</v>
      </c>
      <c r="F53" s="511">
        <v>25.27</v>
      </c>
      <c r="G53" s="512">
        <f>'dados de entrada'!B$10</f>
        <v>0.25</v>
      </c>
      <c r="H53" s="538">
        <f>ROUND(F53*(1+G53),2)</f>
        <v>31.59</v>
      </c>
      <c r="I53" s="428">
        <f>ROUND(H53*E53,2)</f>
        <v>1762.72</v>
      </c>
    </row>
    <row r="54" spans="1:9" ht="12.75">
      <c r="A54" s="507" t="s">
        <v>603</v>
      </c>
      <c r="B54" s="424" t="s">
        <v>153</v>
      </c>
      <c r="C54" s="509" t="str">
        <f>MEMORIAL!B53</f>
        <v>Placa de Identificação de rua</v>
      </c>
      <c r="D54" s="510" t="str">
        <f>MEMORIAL!C53</f>
        <v>und</v>
      </c>
      <c r="E54" s="511">
        <f>MEMORIAL!D53</f>
        <v>1</v>
      </c>
      <c r="F54" s="511">
        <v>198.81</v>
      </c>
      <c r="G54" s="512">
        <f>'dados de entrada'!B$10</f>
        <v>0.25</v>
      </c>
      <c r="H54" s="538">
        <f t="shared" si="4"/>
        <v>248.51</v>
      </c>
      <c r="I54" s="428">
        <f t="shared" si="5"/>
        <v>248.51</v>
      </c>
    </row>
    <row r="55" spans="1:9" ht="12.75">
      <c r="A55" s="421"/>
      <c r="B55" s="422"/>
      <c r="C55" s="423"/>
      <c r="D55" s="429"/>
      <c r="E55" s="425"/>
      <c r="F55" s="425"/>
      <c r="G55" s="426"/>
      <c r="H55" s="427"/>
      <c r="I55" s="428"/>
    </row>
    <row r="56" spans="1:9" ht="12.75">
      <c r="A56" s="671"/>
      <c r="B56" s="1177" t="s">
        <v>606</v>
      </c>
      <c r="C56" s="1178"/>
      <c r="D56" s="672"/>
      <c r="E56" s="673"/>
      <c r="F56" s="673"/>
      <c r="G56" s="674"/>
      <c r="H56" s="675"/>
      <c r="I56" s="537"/>
    </row>
    <row r="57" spans="1:9" ht="12.75" customHeight="1" thickBot="1">
      <c r="A57" s="899" t="s">
        <v>476</v>
      </c>
      <c r="B57" s="900"/>
      <c r="C57" s="900"/>
      <c r="D57" s="900"/>
      <c r="E57" s="900"/>
      <c r="F57" s="900"/>
      <c r="G57" s="900"/>
      <c r="H57" s="901"/>
      <c r="I57" s="430">
        <f>ROUND(I12+I15+I29+I34+I42+I47,2)</f>
        <v>352438.96</v>
      </c>
    </row>
    <row r="58" spans="1:12" s="188" customFormat="1" ht="12.75">
      <c r="A58" s="431"/>
      <c r="B58" s="432"/>
      <c r="C58" s="432"/>
      <c r="D58" s="432"/>
      <c r="E58" s="432"/>
      <c r="F58" s="432"/>
      <c r="G58" s="432"/>
      <c r="H58" s="432"/>
      <c r="I58" s="433"/>
      <c r="K58" s="584"/>
      <c r="L58" s="586"/>
    </row>
    <row r="59" spans="1:9" ht="12.75">
      <c r="A59" s="882" t="s">
        <v>477</v>
      </c>
      <c r="B59" s="883"/>
      <c r="C59" s="561" t="s">
        <v>478</v>
      </c>
      <c r="D59" s="562"/>
      <c r="E59" s="902" t="s">
        <v>479</v>
      </c>
      <c r="F59" s="902"/>
      <c r="G59" s="903"/>
      <c r="H59" s="904"/>
      <c r="I59" s="905"/>
    </row>
    <row r="60" spans="1:9" ht="12.75">
      <c r="A60" s="884"/>
      <c r="B60" s="885"/>
      <c r="C60" s="564" t="str">
        <f>'dados de entrada'!C24</f>
        <v>Carlos Alberto Bley</v>
      </c>
      <c r="D60" s="563"/>
      <c r="E60" s="902"/>
      <c r="F60" s="902"/>
      <c r="G60" s="903"/>
      <c r="H60" s="904"/>
      <c r="I60" s="905"/>
    </row>
    <row r="61" spans="1:9" ht="12.75">
      <c r="A61" s="886">
        <f>'dados de entrada'!B3</f>
        <v>41671</v>
      </c>
      <c r="B61" s="887"/>
      <c r="C61" s="565" t="s">
        <v>561</v>
      </c>
      <c r="D61" s="563"/>
      <c r="E61" s="902"/>
      <c r="F61" s="902"/>
      <c r="G61" s="903"/>
      <c r="H61" s="904"/>
      <c r="I61" s="905"/>
    </row>
    <row r="62" spans="1:9" ht="13.5" thickBot="1">
      <c r="A62" s="888"/>
      <c r="B62" s="889"/>
      <c r="C62" s="567" t="str">
        <f>'dados de entrada'!B17</f>
        <v>Engenheiro Civil - CREA SC 008.333-3</v>
      </c>
      <c r="D62" s="566"/>
      <c r="E62" s="906"/>
      <c r="F62" s="906"/>
      <c r="G62" s="907"/>
      <c r="H62" s="908"/>
      <c r="I62" s="909"/>
    </row>
    <row r="64" ht="12.75">
      <c r="A64" s="119" t="s">
        <v>480</v>
      </c>
    </row>
    <row r="65" spans="1:9" ht="12.75" customHeight="1">
      <c r="A65" s="881" t="s">
        <v>481</v>
      </c>
      <c r="B65" s="881"/>
      <c r="C65" s="881"/>
      <c r="D65" s="881"/>
      <c r="E65" s="881"/>
      <c r="F65" s="881"/>
      <c r="G65" s="881"/>
      <c r="H65" s="881"/>
      <c r="I65" s="881"/>
    </row>
    <row r="66" spans="1:9" ht="12.75">
      <c r="A66" s="881"/>
      <c r="B66" s="881"/>
      <c r="C66" s="881"/>
      <c r="D66" s="881"/>
      <c r="E66" s="881"/>
      <c r="F66" s="881"/>
      <c r="G66" s="881"/>
      <c r="H66" s="881"/>
      <c r="I66" s="881"/>
    </row>
    <row r="67" spans="1:9" ht="12.75">
      <c r="A67" s="881"/>
      <c r="B67" s="881"/>
      <c r="C67" s="881"/>
      <c r="D67" s="881"/>
      <c r="E67" s="881"/>
      <c r="F67" s="881"/>
      <c r="G67" s="881"/>
      <c r="H67" s="881"/>
      <c r="I67" s="881"/>
    </row>
    <row r="68" spans="1:9" ht="12.75">
      <c r="A68" s="881"/>
      <c r="B68" s="881"/>
      <c r="C68" s="881"/>
      <c r="D68" s="881"/>
      <c r="E68" s="881"/>
      <c r="F68" s="881"/>
      <c r="G68" s="881"/>
      <c r="H68" s="881"/>
      <c r="I68" s="881"/>
    </row>
    <row r="69" spans="1:9" ht="4.5" customHeight="1">
      <c r="A69" s="435"/>
      <c r="B69" s="435"/>
      <c r="C69" s="435"/>
      <c r="D69" s="435"/>
      <c r="E69" s="435"/>
      <c r="F69" s="435"/>
      <c r="G69" s="435"/>
      <c r="H69" s="435"/>
      <c r="I69" s="435"/>
    </row>
    <row r="70" spans="1:9" ht="12.75" customHeight="1">
      <c r="A70" s="881" t="s">
        <v>482</v>
      </c>
      <c r="B70" s="881"/>
      <c r="C70" s="881"/>
      <c r="D70" s="881"/>
      <c r="E70" s="881"/>
      <c r="F70" s="881"/>
      <c r="G70" s="881"/>
      <c r="H70" s="881"/>
      <c r="I70" s="881"/>
    </row>
    <row r="71" spans="1:9" ht="12.75">
      <c r="A71" s="881"/>
      <c r="B71" s="881"/>
      <c r="C71" s="881"/>
      <c r="D71" s="881"/>
      <c r="E71" s="881"/>
      <c r="F71" s="881"/>
      <c r="G71" s="881"/>
      <c r="H71" s="881"/>
      <c r="I71" s="881"/>
    </row>
    <row r="72" spans="1:9" ht="4.5" customHeight="1">
      <c r="A72" s="434"/>
      <c r="B72" s="434"/>
      <c r="C72" s="434"/>
      <c r="D72" s="434"/>
      <c r="E72" s="434"/>
      <c r="F72" s="434"/>
      <c r="G72" s="434"/>
      <c r="H72" s="434"/>
      <c r="I72" s="434"/>
    </row>
    <row r="73" spans="1:9" ht="12.75">
      <c r="A73" s="898" t="s">
        <v>483</v>
      </c>
      <c r="B73" s="898"/>
      <c r="C73" s="898"/>
      <c r="D73" s="898"/>
      <c r="E73" s="898"/>
      <c r="F73" s="898"/>
      <c r="G73" s="898"/>
      <c r="H73" s="898"/>
      <c r="I73" s="898"/>
    </row>
  </sheetData>
  <sheetProtection/>
  <mergeCells count="27">
    <mergeCell ref="B7:I7"/>
    <mergeCell ref="A1:G1"/>
    <mergeCell ref="I1:I2"/>
    <mergeCell ref="A2:G2"/>
    <mergeCell ref="A5:A6"/>
    <mergeCell ref="B5:G6"/>
    <mergeCell ref="A3:A4"/>
    <mergeCell ref="B3:G4"/>
    <mergeCell ref="A70:I71"/>
    <mergeCell ref="A73:I73"/>
    <mergeCell ref="A57:H57"/>
    <mergeCell ref="E59:I62"/>
    <mergeCell ref="A10:A11"/>
    <mergeCell ref="B10:B11"/>
    <mergeCell ref="C10:C11"/>
    <mergeCell ref="D10:D11"/>
    <mergeCell ref="E10:E11"/>
    <mergeCell ref="F10:F11"/>
    <mergeCell ref="A65:I68"/>
    <mergeCell ref="A59:B60"/>
    <mergeCell ref="A61:B62"/>
    <mergeCell ref="A8:B8"/>
    <mergeCell ref="C8:I8"/>
    <mergeCell ref="G10:G11"/>
    <mergeCell ref="H10:H11"/>
    <mergeCell ref="I10:I11"/>
    <mergeCell ref="B56:C56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60" r:id="rId2"/>
  <rowBreaks count="1" manualBreakCount="1">
    <brk id="62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showGridLines="0" zoomScaleSheetLayoutView="100" zoomScalePageLayoutView="0" workbookViewId="0" topLeftCell="A22">
      <selection activeCell="R42" sqref="R42:R4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62.42187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90" t="s">
        <v>484</v>
      </c>
      <c r="P1" s="991"/>
      <c r="S1" s="982"/>
      <c r="T1" s="982"/>
      <c r="U1" s="982"/>
      <c r="V1" s="982"/>
      <c r="W1" s="982"/>
      <c r="X1" s="982"/>
      <c r="Y1" s="983"/>
      <c r="Z1" s="169"/>
      <c r="AA1" s="169"/>
      <c r="AB1" s="169"/>
    </row>
    <row r="2" spans="1:28" ht="24" customHeight="1">
      <c r="A2" s="984" t="s">
        <v>485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92"/>
      <c r="P2" s="993"/>
      <c r="S2" s="982"/>
      <c r="T2" s="982"/>
      <c r="U2" s="982"/>
      <c r="V2" s="982"/>
      <c r="W2" s="982"/>
      <c r="X2" s="982"/>
      <c r="Y2" s="983"/>
      <c r="Z2" s="169"/>
      <c r="AA2" s="169"/>
      <c r="AB2" s="169"/>
    </row>
    <row r="3" spans="1:28" ht="13.5" customHeight="1">
      <c r="A3" s="994" t="s">
        <v>467</v>
      </c>
      <c r="B3" s="944"/>
      <c r="C3" s="944"/>
      <c r="D3" s="944" t="str">
        <f>'dados de entrada'!B4</f>
        <v>BOMBINHAS</v>
      </c>
      <c r="E3" s="944"/>
      <c r="F3" s="944"/>
      <c r="G3" s="944"/>
      <c r="H3" s="944"/>
      <c r="I3" s="944"/>
      <c r="J3" s="944"/>
      <c r="K3" s="944"/>
      <c r="L3" s="944"/>
      <c r="M3" s="944"/>
      <c r="N3" s="945"/>
      <c r="O3" s="985" t="s">
        <v>486</v>
      </c>
      <c r="P3" s="986"/>
      <c r="S3" s="989"/>
      <c r="T3" s="989"/>
      <c r="U3" s="989"/>
      <c r="V3" s="989"/>
      <c r="W3" s="989"/>
      <c r="X3" s="989"/>
      <c r="Y3" s="437"/>
      <c r="Z3" s="169"/>
      <c r="AA3" s="169"/>
      <c r="AB3" s="169"/>
    </row>
    <row r="4" spans="1:28" ht="13.5" customHeight="1">
      <c r="A4" s="994" t="s">
        <v>17</v>
      </c>
      <c r="B4" s="944"/>
      <c r="C4" s="944"/>
      <c r="D4" s="944" t="str">
        <f>'dados de entrada'!B8</f>
        <v>PAVIMENTAÇÃO COM LAJOTAS SEXTAVADAS E DRENAGEM PLUVIAL </v>
      </c>
      <c r="E4" s="944"/>
      <c r="F4" s="944"/>
      <c r="G4" s="944"/>
      <c r="H4" s="944"/>
      <c r="I4" s="944"/>
      <c r="J4" s="944"/>
      <c r="K4" s="944"/>
      <c r="L4" s="944"/>
      <c r="M4" s="944"/>
      <c r="N4" s="945"/>
      <c r="O4" s="987"/>
      <c r="P4" s="988"/>
      <c r="S4" s="413"/>
      <c r="T4" s="413"/>
      <c r="U4" s="413"/>
      <c r="V4" s="413"/>
      <c r="W4" s="413"/>
      <c r="X4" s="413"/>
      <c r="Y4" s="437"/>
      <c r="Z4" s="169"/>
      <c r="AA4" s="169"/>
      <c r="AB4" s="169"/>
    </row>
    <row r="5" spans="1:28" ht="13.5" customHeight="1">
      <c r="A5" s="1000" t="s">
        <v>200</v>
      </c>
      <c r="B5" s="913"/>
      <c r="C5" s="913"/>
      <c r="D5" s="944" t="str">
        <f>'dados de entrada'!C19</f>
        <v>RUA CABRITO - BAIRRO JOSÉ AMANDIO</v>
      </c>
      <c r="E5" s="944"/>
      <c r="F5" s="944"/>
      <c r="G5" s="944"/>
      <c r="H5" s="944"/>
      <c r="I5" s="944"/>
      <c r="J5" s="944"/>
      <c r="K5" s="944"/>
      <c r="L5" s="944"/>
      <c r="M5" s="944"/>
      <c r="N5" s="945"/>
      <c r="O5" s="542" t="s">
        <v>487</v>
      </c>
      <c r="P5" s="543"/>
      <c r="S5" s="413"/>
      <c r="T5" s="413"/>
      <c r="U5" s="413"/>
      <c r="V5" s="413"/>
      <c r="W5" s="413"/>
      <c r="X5" s="413"/>
      <c r="Y5" s="437"/>
      <c r="Z5" s="169"/>
      <c r="AA5" s="169"/>
      <c r="AB5" s="169"/>
    </row>
    <row r="6" spans="1:28" ht="12.75" customHeight="1">
      <c r="A6" s="946" t="s">
        <v>591</v>
      </c>
      <c r="B6" s="947"/>
      <c r="C6" s="947"/>
      <c r="D6" s="947"/>
      <c r="E6" s="891" t="s">
        <v>488</v>
      </c>
      <c r="F6" s="891"/>
      <c r="G6" s="891"/>
      <c r="H6" s="891"/>
      <c r="I6" s="891"/>
      <c r="J6" s="891"/>
      <c r="K6" s="891"/>
      <c r="L6" s="891"/>
      <c r="M6" s="891"/>
      <c r="N6" s="1001"/>
      <c r="O6" s="936">
        <f>'dados de entrada'!B3</f>
        <v>41671</v>
      </c>
      <c r="P6" s="937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4.25" customHeight="1">
      <c r="A7" s="995" t="s">
        <v>0</v>
      </c>
      <c r="B7" s="997" t="s">
        <v>1</v>
      </c>
      <c r="C7" s="997"/>
      <c r="D7" s="997"/>
      <c r="E7" s="999" t="s">
        <v>489</v>
      </c>
      <c r="F7" s="999"/>
      <c r="G7" s="999"/>
      <c r="H7" s="999"/>
      <c r="I7" s="999"/>
      <c r="J7" s="999"/>
      <c r="K7" s="999"/>
      <c r="L7" s="999"/>
      <c r="M7" s="999"/>
      <c r="N7" s="999"/>
      <c r="O7" s="950" t="s">
        <v>5</v>
      </c>
      <c r="P7" s="951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4.25" customHeight="1">
      <c r="A8" s="995"/>
      <c r="B8" s="997"/>
      <c r="C8" s="997"/>
      <c r="D8" s="997"/>
      <c r="E8" s="948" t="s">
        <v>490</v>
      </c>
      <c r="F8" s="949"/>
      <c r="G8" s="948" t="s">
        <v>491</v>
      </c>
      <c r="H8" s="949"/>
      <c r="I8" s="948" t="s">
        <v>492</v>
      </c>
      <c r="J8" s="949"/>
      <c r="K8" s="948" t="s">
        <v>493</v>
      </c>
      <c r="L8" s="949"/>
      <c r="M8" s="948" t="s">
        <v>494</v>
      </c>
      <c r="N8" s="949"/>
      <c r="O8" s="950"/>
      <c r="P8" s="951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3.5" thickBot="1">
      <c r="A9" s="996"/>
      <c r="B9" s="998"/>
      <c r="C9" s="998"/>
      <c r="D9" s="998"/>
      <c r="E9" s="568" t="s">
        <v>6</v>
      </c>
      <c r="F9" s="568" t="s">
        <v>7</v>
      </c>
      <c r="G9" s="568" t="s">
        <v>6</v>
      </c>
      <c r="H9" s="568" t="s">
        <v>7</v>
      </c>
      <c r="I9" s="568" t="s">
        <v>6</v>
      </c>
      <c r="J9" s="568" t="s">
        <v>7</v>
      </c>
      <c r="K9" s="568" t="s">
        <v>6</v>
      </c>
      <c r="L9" s="568" t="s">
        <v>7</v>
      </c>
      <c r="M9" s="568" t="s">
        <v>6</v>
      </c>
      <c r="N9" s="568" t="s">
        <v>7</v>
      </c>
      <c r="O9" s="568" t="s">
        <v>6</v>
      </c>
      <c r="P9" s="569" t="s">
        <v>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3.5" customHeight="1">
      <c r="A10" s="514" t="str">
        <f>ORÇAMENTO!A12</f>
        <v>1.0</v>
      </c>
      <c r="B10" s="940" t="str">
        <f>ORÇAMENTO!C12</f>
        <v>SERVIÇOS INICIAIS</v>
      </c>
      <c r="C10" s="941"/>
      <c r="D10" s="941"/>
      <c r="E10" s="599">
        <f>SUM(E11)</f>
        <v>1372.95</v>
      </c>
      <c r="F10" s="593">
        <f>E10/$O$10</f>
        <v>1</v>
      </c>
      <c r="G10" s="599">
        <f>SUM(G11)</f>
        <v>0</v>
      </c>
      <c r="H10" s="593">
        <f>G10/$O$10</f>
        <v>0</v>
      </c>
      <c r="I10" s="599">
        <f>SUM(I11)</f>
        <v>0</v>
      </c>
      <c r="J10" s="593">
        <f>I10/$O$10</f>
        <v>0</v>
      </c>
      <c r="K10" s="599">
        <f>SUM(K11)</f>
        <v>0</v>
      </c>
      <c r="L10" s="593">
        <f>K10/$O$10</f>
        <v>0</v>
      </c>
      <c r="M10" s="599">
        <f>SUM(M11)</f>
        <v>0</v>
      </c>
      <c r="N10" s="593">
        <f>M10/$O$10</f>
        <v>0</v>
      </c>
      <c r="O10" s="589">
        <f>SUM(O11)</f>
        <v>1372.95</v>
      </c>
      <c r="P10" s="592">
        <f>(O10/$O$54)</f>
        <v>0.0038955681857647064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3.5" customHeight="1">
      <c r="A11" s="421" t="str">
        <f>ORÇAMENTO!A13</f>
        <v>1.1</v>
      </c>
      <c r="B11" s="942" t="str">
        <f>ORÇAMENTO!C13</f>
        <v>Placa de obra</v>
      </c>
      <c r="C11" s="943"/>
      <c r="D11" s="943"/>
      <c r="E11" s="438">
        <f>F11*O11</f>
        <v>1372.95</v>
      </c>
      <c r="F11" s="594">
        <v>1</v>
      </c>
      <c r="G11" s="438">
        <f>H11*($O$11)</f>
        <v>0</v>
      </c>
      <c r="H11" s="594">
        <v>0</v>
      </c>
      <c r="I11" s="438">
        <f>J11*($O$11)</f>
        <v>0</v>
      </c>
      <c r="J11" s="594">
        <v>0</v>
      </c>
      <c r="K11" s="438">
        <f>L11*($O$11)</f>
        <v>0</v>
      </c>
      <c r="L11" s="594">
        <v>0</v>
      </c>
      <c r="M11" s="438">
        <f>N11*($O$11)</f>
        <v>0</v>
      </c>
      <c r="N11" s="594">
        <v>0</v>
      </c>
      <c r="O11" s="439">
        <f>ORÇAMENTO!I13</f>
        <v>1372.95</v>
      </c>
      <c r="P11" s="596">
        <f>(O11/$O$54)</f>
        <v>0.0038955681857647064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3.5" customHeight="1" thickBot="1">
      <c r="A12" s="530"/>
      <c r="B12" s="938"/>
      <c r="C12" s="939"/>
      <c r="D12" s="939"/>
      <c r="E12" s="573"/>
      <c r="F12" s="574"/>
      <c r="G12" s="573"/>
      <c r="H12" s="575"/>
      <c r="I12" s="573"/>
      <c r="J12" s="575"/>
      <c r="K12" s="573"/>
      <c r="L12" s="575"/>
      <c r="M12" s="573"/>
      <c r="N12" s="574"/>
      <c r="O12" s="577"/>
      <c r="P12" s="576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3.5" customHeight="1">
      <c r="A13" s="514" t="str">
        <f>ORÇAMENTO!A15</f>
        <v>2.0</v>
      </c>
      <c r="B13" s="940" t="str">
        <f>ORÇAMENTO!C15</f>
        <v>SERVIÇOS EM DRENAGEM PLUVIAL</v>
      </c>
      <c r="C13" s="941"/>
      <c r="D13" s="941"/>
      <c r="E13" s="599">
        <f>SUM(E14:E25)</f>
        <v>70609.5</v>
      </c>
      <c r="F13" s="598">
        <f>E13/$O$13</f>
        <v>1</v>
      </c>
      <c r="G13" s="599">
        <f>SUM(G14:G25)</f>
        <v>0</v>
      </c>
      <c r="H13" s="598">
        <f>G13/$O$13</f>
        <v>0</v>
      </c>
      <c r="I13" s="599">
        <f>SUM(I14:I25)</f>
        <v>0</v>
      </c>
      <c r="J13" s="598">
        <f>I13/$O$13</f>
        <v>0</v>
      </c>
      <c r="K13" s="599">
        <f>SUM(K14:K25)</f>
        <v>0</v>
      </c>
      <c r="L13" s="598">
        <f>K13/$O$13</f>
        <v>0</v>
      </c>
      <c r="M13" s="599">
        <f>SUM(M14:M25)</f>
        <v>0</v>
      </c>
      <c r="N13" s="598">
        <f>M13/$O$13</f>
        <v>0</v>
      </c>
      <c r="O13" s="589">
        <f>SUM(O14:O25)</f>
        <v>70609.5</v>
      </c>
      <c r="P13" s="592">
        <f aca="true" t="shared" si="0" ref="P13:P25">(O13/$O$54)</f>
        <v>0.200345330720531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3.5" customHeight="1">
      <c r="A14" s="421" t="str">
        <f>ORÇAMENTO!A16</f>
        <v>2.1</v>
      </c>
      <c r="B14" s="942" t="str">
        <f>ORÇAMENTO!C16</f>
        <v>Escavação mec. de valas em qualquer tipo de solo, 0,00 a 4,00 m</v>
      </c>
      <c r="C14" s="943"/>
      <c r="D14" s="943"/>
      <c r="E14" s="438">
        <f>F14*O14</f>
        <v>3135.93</v>
      </c>
      <c r="F14" s="594">
        <v>1</v>
      </c>
      <c r="G14" s="438">
        <f>H14*O14</f>
        <v>0</v>
      </c>
      <c r="H14" s="594">
        <v>0</v>
      </c>
      <c r="I14" s="438">
        <f>J14*O14</f>
        <v>0</v>
      </c>
      <c r="J14" s="594">
        <v>0</v>
      </c>
      <c r="K14" s="438">
        <f>L14*O14</f>
        <v>0</v>
      </c>
      <c r="L14" s="594">
        <v>0</v>
      </c>
      <c r="M14" s="438">
        <f>N14*O14</f>
        <v>0</v>
      </c>
      <c r="N14" s="594">
        <v>0</v>
      </c>
      <c r="O14" s="439">
        <f>ORÇAMENTO!I16</f>
        <v>3135.93</v>
      </c>
      <c r="P14" s="596">
        <f t="shared" si="0"/>
        <v>0.008897796089285929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3.5" customHeight="1">
      <c r="A15" s="421" t="str">
        <f>ORÇAMENTO!A17</f>
        <v>2.2</v>
      </c>
      <c r="B15" s="942" t="str">
        <f>ORÇAMENTO!C17</f>
        <v>Lastro de brita 6 cm x 60 cm</v>
      </c>
      <c r="C15" s="943"/>
      <c r="D15" s="943"/>
      <c r="E15" s="438">
        <f aca="true" t="shared" si="1" ref="E15:E25">F15*O15</f>
        <v>1336.39</v>
      </c>
      <c r="F15" s="594">
        <v>1</v>
      </c>
      <c r="G15" s="438">
        <f aca="true" t="shared" si="2" ref="G15:G25">H15*O15</f>
        <v>0</v>
      </c>
      <c r="H15" s="594">
        <v>0</v>
      </c>
      <c r="I15" s="438">
        <f aca="true" t="shared" si="3" ref="I15:I25">J15*O15</f>
        <v>0</v>
      </c>
      <c r="J15" s="594">
        <v>0</v>
      </c>
      <c r="K15" s="438">
        <f aca="true" t="shared" si="4" ref="K15:K25">L15*O15</f>
        <v>0</v>
      </c>
      <c r="L15" s="594">
        <v>0</v>
      </c>
      <c r="M15" s="438">
        <f aca="true" t="shared" si="5" ref="M15:M25">N15*O15</f>
        <v>0</v>
      </c>
      <c r="N15" s="594">
        <v>0</v>
      </c>
      <c r="O15" s="439">
        <f>ORÇAMENTO!I17</f>
        <v>1336.39</v>
      </c>
      <c r="P15" s="596">
        <f t="shared" si="0"/>
        <v>0.003791833910757199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customHeight="1">
      <c r="A16" s="421" t="str">
        <f>ORÇAMENTO!A18</f>
        <v>2.3</v>
      </c>
      <c r="B16" s="942" t="str">
        <f>ORÇAMENTO!C18</f>
        <v>Assentamento de tubos de concreto diametro de 30 cm., armado ou simples</v>
      </c>
      <c r="C16" s="943"/>
      <c r="D16" s="943"/>
      <c r="E16" s="438">
        <f>F16*O16</f>
        <v>1523.08</v>
      </c>
      <c r="F16" s="594">
        <v>1</v>
      </c>
      <c r="G16" s="438">
        <f>H16*O16</f>
        <v>0</v>
      </c>
      <c r="H16" s="594">
        <v>0</v>
      </c>
      <c r="I16" s="438">
        <f>J16*O16</f>
        <v>0</v>
      </c>
      <c r="J16" s="594">
        <v>0</v>
      </c>
      <c r="K16" s="438">
        <f>L16*O16</f>
        <v>0</v>
      </c>
      <c r="L16" s="594">
        <v>0</v>
      </c>
      <c r="M16" s="438">
        <f>N16*O16</f>
        <v>0</v>
      </c>
      <c r="N16" s="594">
        <v>0</v>
      </c>
      <c r="O16" s="439">
        <f>ORÇAMENTO!I18</f>
        <v>1523.08</v>
      </c>
      <c r="P16" s="596">
        <f>(O16/$O$54)</f>
        <v>0.004321542658053468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customHeight="1">
      <c r="A17" s="421" t="str">
        <f>ORÇAMENTO!A19</f>
        <v>2.4</v>
      </c>
      <c r="B17" s="942" t="str">
        <f>ORÇAMENTO!C19</f>
        <v>Tubo de concreto simples classe - PS2 - NBR-8890 de Ø 30 cm, para águas pluviais</v>
      </c>
      <c r="C17" s="943"/>
      <c r="D17" s="943"/>
      <c r="E17" s="438">
        <f>F17*O17</f>
        <v>2842</v>
      </c>
      <c r="F17" s="594">
        <v>1</v>
      </c>
      <c r="G17" s="438">
        <f>H17*O17</f>
        <v>0</v>
      </c>
      <c r="H17" s="594">
        <v>0</v>
      </c>
      <c r="I17" s="438">
        <f>J17*O17</f>
        <v>0</v>
      </c>
      <c r="J17" s="594">
        <v>0</v>
      </c>
      <c r="K17" s="438">
        <f>L17*O17</f>
        <v>0</v>
      </c>
      <c r="L17" s="594">
        <v>0</v>
      </c>
      <c r="M17" s="438">
        <f>N17*O17</f>
        <v>0</v>
      </c>
      <c r="N17" s="594">
        <v>0</v>
      </c>
      <c r="O17" s="439">
        <f>ORÇAMENTO!I19</f>
        <v>2842</v>
      </c>
      <c r="P17" s="596">
        <f>(O17/$O$54)</f>
        <v>0.008063807701622999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3.5" customHeight="1">
      <c r="A18" s="421" t="str">
        <f>ORÇAMENTO!A20</f>
        <v>2.5</v>
      </c>
      <c r="B18" s="942" t="str">
        <f>ORÇAMENTO!C20</f>
        <v>Assentamento de tubos de concreto diametro de 40 cm., armado ou simples</v>
      </c>
      <c r="C18" s="943"/>
      <c r="D18" s="943"/>
      <c r="E18" s="438">
        <f t="shared" si="1"/>
        <v>5326.65</v>
      </c>
      <c r="F18" s="594">
        <v>1</v>
      </c>
      <c r="G18" s="438">
        <f t="shared" si="2"/>
        <v>0</v>
      </c>
      <c r="H18" s="594">
        <v>0</v>
      </c>
      <c r="I18" s="438">
        <f t="shared" si="3"/>
        <v>0</v>
      </c>
      <c r="J18" s="594">
        <v>0</v>
      </c>
      <c r="K18" s="438">
        <f t="shared" si="4"/>
        <v>0</v>
      </c>
      <c r="L18" s="594">
        <v>0</v>
      </c>
      <c r="M18" s="438">
        <f t="shared" si="5"/>
        <v>0</v>
      </c>
      <c r="N18" s="594">
        <v>0</v>
      </c>
      <c r="O18" s="439">
        <f>ORÇAMENTO!I20</f>
        <v>5326.65</v>
      </c>
      <c r="P18" s="596">
        <f t="shared" si="0"/>
        <v>0.015113680961945862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customHeight="1">
      <c r="A19" s="421" t="str">
        <f>ORÇAMENTO!A21</f>
        <v>2.6</v>
      </c>
      <c r="B19" s="942" t="str">
        <f>ORÇAMENTO!C21</f>
        <v>Tubo de concreto armado classe - PA2 PB NBR-8890/2007 de Ø 40 cm, para águas pluviais</v>
      </c>
      <c r="C19" s="943"/>
      <c r="D19" s="943"/>
      <c r="E19" s="438">
        <f t="shared" si="1"/>
        <v>20366.1</v>
      </c>
      <c r="F19" s="594">
        <v>1</v>
      </c>
      <c r="G19" s="438">
        <f t="shared" si="2"/>
        <v>0</v>
      </c>
      <c r="H19" s="594">
        <v>0</v>
      </c>
      <c r="I19" s="438">
        <f t="shared" si="3"/>
        <v>0</v>
      </c>
      <c r="J19" s="594">
        <v>0</v>
      </c>
      <c r="K19" s="438">
        <f t="shared" si="4"/>
        <v>0</v>
      </c>
      <c r="L19" s="594">
        <v>0</v>
      </c>
      <c r="M19" s="438">
        <f t="shared" si="5"/>
        <v>0</v>
      </c>
      <c r="N19" s="594">
        <v>0</v>
      </c>
      <c r="O19" s="439">
        <f>ORÇAMENTO!I21</f>
        <v>20366.1</v>
      </c>
      <c r="P19" s="596">
        <f t="shared" si="0"/>
        <v>0.05778617664743988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customHeight="1">
      <c r="A20" s="421" t="str">
        <f>ORÇAMENTO!A22</f>
        <v>2.7</v>
      </c>
      <c r="B20" s="942" t="str">
        <f>ORÇAMENTO!C22</f>
        <v>Fornecimento e colocação de manta geotextil 200 g/m2, largura = 30 cm</v>
      </c>
      <c r="C20" s="943"/>
      <c r="D20" s="943"/>
      <c r="E20" s="438">
        <f t="shared" si="1"/>
        <v>1564.57</v>
      </c>
      <c r="F20" s="594">
        <v>1</v>
      </c>
      <c r="G20" s="438">
        <f t="shared" si="2"/>
        <v>0</v>
      </c>
      <c r="H20" s="594">
        <v>0</v>
      </c>
      <c r="I20" s="438">
        <f t="shared" si="3"/>
        <v>0</v>
      </c>
      <c r="J20" s="594">
        <v>0</v>
      </c>
      <c r="K20" s="438">
        <f t="shared" si="4"/>
        <v>0</v>
      </c>
      <c r="L20" s="594">
        <v>0</v>
      </c>
      <c r="M20" s="438">
        <f t="shared" si="5"/>
        <v>0</v>
      </c>
      <c r="N20" s="594">
        <v>0</v>
      </c>
      <c r="O20" s="439">
        <f>ORÇAMENTO!I22</f>
        <v>1564.57</v>
      </c>
      <c r="P20" s="596">
        <f t="shared" si="0"/>
        <v>0.0044392651709107295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 customHeight="1">
      <c r="A21" s="421" t="str">
        <f>ORÇAMENTO!A23</f>
        <v>2.8</v>
      </c>
      <c r="B21" s="942" t="str">
        <f>ORÇAMENTO!C23</f>
        <v>Reaterro de vala com material granular reaproveitado adensado e vibrado</v>
      </c>
      <c r="C21" s="943"/>
      <c r="D21" s="943"/>
      <c r="E21" s="438">
        <f t="shared" si="1"/>
        <v>4007.5</v>
      </c>
      <c r="F21" s="594">
        <v>1</v>
      </c>
      <c r="G21" s="438">
        <f t="shared" si="2"/>
        <v>0</v>
      </c>
      <c r="H21" s="594">
        <v>0</v>
      </c>
      <c r="I21" s="438">
        <f t="shared" si="3"/>
        <v>0</v>
      </c>
      <c r="J21" s="594">
        <v>0</v>
      </c>
      <c r="K21" s="438">
        <f t="shared" si="4"/>
        <v>0</v>
      </c>
      <c r="L21" s="594">
        <v>0</v>
      </c>
      <c r="M21" s="438">
        <f t="shared" si="5"/>
        <v>0</v>
      </c>
      <c r="N21" s="594">
        <v>0</v>
      </c>
      <c r="O21" s="439">
        <f>ORÇAMENTO!I23</f>
        <v>4007.5</v>
      </c>
      <c r="P21" s="596">
        <f t="shared" si="0"/>
        <v>0.011370763323101395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 customHeight="1">
      <c r="A22" s="421" t="str">
        <f>ORÇAMENTO!A24</f>
        <v>2.9</v>
      </c>
      <c r="B22" s="942" t="str">
        <f>ORÇAMENTO!C24</f>
        <v>Carga mecanizada e remoção de excedentes com transporte até 1 km</v>
      </c>
      <c r="C22" s="943"/>
      <c r="D22" s="943"/>
      <c r="E22" s="438">
        <f t="shared" si="1"/>
        <v>569.03</v>
      </c>
      <c r="F22" s="594">
        <v>1</v>
      </c>
      <c r="G22" s="438">
        <f t="shared" si="2"/>
        <v>0</v>
      </c>
      <c r="H22" s="594">
        <v>0</v>
      </c>
      <c r="I22" s="438">
        <f t="shared" si="3"/>
        <v>0</v>
      </c>
      <c r="J22" s="594">
        <v>0</v>
      </c>
      <c r="K22" s="438">
        <f t="shared" si="4"/>
        <v>0</v>
      </c>
      <c r="L22" s="594">
        <v>0</v>
      </c>
      <c r="M22" s="438">
        <f t="shared" si="5"/>
        <v>0</v>
      </c>
      <c r="N22" s="594">
        <v>0</v>
      </c>
      <c r="O22" s="439">
        <f>ORÇAMENTO!I24</f>
        <v>569.03</v>
      </c>
      <c r="P22" s="596">
        <f t="shared" si="0"/>
        <v>0.001614549083903777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 customHeight="1">
      <c r="A23" s="421" t="str">
        <f>ORÇAMENTO!A25</f>
        <v>2.10</v>
      </c>
      <c r="B23" s="942" t="str">
        <f>ORÇAMENTO!C25</f>
        <v>Poço de visita Ø 40/60 cm - simples</v>
      </c>
      <c r="C23" s="943"/>
      <c r="D23" s="943"/>
      <c r="E23" s="438">
        <f t="shared" si="1"/>
        <v>7691.53</v>
      </c>
      <c r="F23" s="594">
        <v>1</v>
      </c>
      <c r="G23" s="438">
        <f t="shared" si="2"/>
        <v>0</v>
      </c>
      <c r="H23" s="594">
        <v>0</v>
      </c>
      <c r="I23" s="438">
        <f t="shared" si="3"/>
        <v>0</v>
      </c>
      <c r="J23" s="594">
        <v>0</v>
      </c>
      <c r="K23" s="438">
        <f t="shared" si="4"/>
        <v>0</v>
      </c>
      <c r="L23" s="594">
        <v>0</v>
      </c>
      <c r="M23" s="438">
        <f t="shared" si="5"/>
        <v>0</v>
      </c>
      <c r="N23" s="594">
        <v>0</v>
      </c>
      <c r="O23" s="439">
        <f>ORÇAMENTO!I25</f>
        <v>7691.53</v>
      </c>
      <c r="P23" s="596">
        <f t="shared" si="0"/>
        <v>0.02182372232627176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customHeight="1">
      <c r="A24" s="421" t="str">
        <f>ORÇAMENTO!A26</f>
        <v>2.11</v>
      </c>
      <c r="B24" s="942" t="str">
        <f>ORÇAMENTO!C26</f>
        <v>Caixa de ligação Ø 40/60 cm - simples</v>
      </c>
      <c r="C24" s="943"/>
      <c r="D24" s="943"/>
      <c r="E24" s="438">
        <f t="shared" si="1"/>
        <v>3652.04</v>
      </c>
      <c r="F24" s="594">
        <v>1</v>
      </c>
      <c r="G24" s="438">
        <f t="shared" si="2"/>
        <v>0</v>
      </c>
      <c r="H24" s="594">
        <v>0</v>
      </c>
      <c r="I24" s="438">
        <f t="shared" si="3"/>
        <v>0</v>
      </c>
      <c r="J24" s="594">
        <v>0</v>
      </c>
      <c r="K24" s="438">
        <f t="shared" si="4"/>
        <v>0</v>
      </c>
      <c r="L24" s="594">
        <v>0</v>
      </c>
      <c r="M24" s="438">
        <f t="shared" si="5"/>
        <v>0</v>
      </c>
      <c r="N24" s="594">
        <v>0</v>
      </c>
      <c r="O24" s="439">
        <f>ORÇAMENTO!I26</f>
        <v>3652.04</v>
      </c>
      <c r="P24" s="596">
        <f t="shared" si="0"/>
        <v>0.010362191512538794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customHeight="1">
      <c r="A25" s="421" t="str">
        <f>ORÇAMENTO!A27</f>
        <v>2.12</v>
      </c>
      <c r="B25" s="942" t="str">
        <f>ORÇAMENTO!C27</f>
        <v>Boca de lobo</v>
      </c>
      <c r="C25" s="943"/>
      <c r="D25" s="943"/>
      <c r="E25" s="438">
        <f t="shared" si="1"/>
        <v>18594.68</v>
      </c>
      <c r="F25" s="594">
        <v>1</v>
      </c>
      <c r="G25" s="438">
        <f t="shared" si="2"/>
        <v>0</v>
      </c>
      <c r="H25" s="594">
        <v>0</v>
      </c>
      <c r="I25" s="438">
        <f t="shared" si="3"/>
        <v>0</v>
      </c>
      <c r="J25" s="594">
        <v>0</v>
      </c>
      <c r="K25" s="438">
        <f t="shared" si="4"/>
        <v>0</v>
      </c>
      <c r="L25" s="594">
        <v>0</v>
      </c>
      <c r="M25" s="438">
        <f t="shared" si="5"/>
        <v>0</v>
      </c>
      <c r="N25" s="594">
        <v>0</v>
      </c>
      <c r="O25" s="439">
        <f>ORÇAMENTO!I27</f>
        <v>18594.68</v>
      </c>
      <c r="P25" s="596">
        <f t="shared" si="0"/>
        <v>0.05276000133469921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 customHeight="1" thickBot="1">
      <c r="A26" s="521"/>
      <c r="B26" s="956"/>
      <c r="C26" s="956"/>
      <c r="D26" s="956"/>
      <c r="E26" s="570"/>
      <c r="F26" s="571"/>
      <c r="G26" s="570"/>
      <c r="H26" s="572"/>
      <c r="I26" s="570"/>
      <c r="J26" s="572"/>
      <c r="K26" s="570"/>
      <c r="L26" s="572"/>
      <c r="M26" s="570"/>
      <c r="N26" s="571"/>
      <c r="O26" s="442"/>
      <c r="P26" s="443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 customHeight="1">
      <c r="A27" s="590" t="str">
        <f>ORÇAMENTO!A29</f>
        <v>3.0</v>
      </c>
      <c r="B27" s="980" t="str">
        <f>ORÇAMENTO!C29</f>
        <v>PAVIMENTAÇÃO COM LAJOTAS SEXTAVADAS</v>
      </c>
      <c r="C27" s="981"/>
      <c r="D27" s="981"/>
      <c r="E27" s="599">
        <f>SUM(E28:E30)</f>
        <v>221997.21000000002</v>
      </c>
      <c r="F27" s="598">
        <f>E27/$O$27</f>
        <v>1</v>
      </c>
      <c r="G27" s="599">
        <f>SUM(G28:G30)</f>
        <v>0</v>
      </c>
      <c r="H27" s="598">
        <f>G27/$O$27</f>
        <v>0</v>
      </c>
      <c r="I27" s="599">
        <f>SUM(I28:I30)</f>
        <v>0</v>
      </c>
      <c r="J27" s="598">
        <f>I27/$O$27</f>
        <v>0</v>
      </c>
      <c r="K27" s="599">
        <f>SUM(K28:K30)</f>
        <v>0</v>
      </c>
      <c r="L27" s="598">
        <f>K27/$O$27</f>
        <v>0</v>
      </c>
      <c r="M27" s="599">
        <f>SUM(M28:M30)</f>
        <v>0</v>
      </c>
      <c r="N27" s="598">
        <f>M27/$O$27</f>
        <v>0</v>
      </c>
      <c r="O27" s="591">
        <f>SUM(O28:O30)</f>
        <v>221997.21000000002</v>
      </c>
      <c r="P27" s="595">
        <f>(O27/$O$54)</f>
        <v>0.629888392588606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16" ht="13.5" customHeight="1">
      <c r="A28" s="421" t="str">
        <f>ORÇAMENTO!A30</f>
        <v>3.1</v>
      </c>
      <c r="B28" s="942" t="str">
        <f>ORÇAMENTO!C30</f>
        <v>Regularização e compactação de até 20 cm</v>
      </c>
      <c r="C28" s="943"/>
      <c r="D28" s="943"/>
      <c r="E28" s="438">
        <f>F28*O28</f>
        <v>5669.04</v>
      </c>
      <c r="F28" s="594">
        <v>1</v>
      </c>
      <c r="G28" s="438">
        <f>H28*O28</f>
        <v>0</v>
      </c>
      <c r="H28" s="594">
        <v>0</v>
      </c>
      <c r="I28" s="438">
        <f>J28*O28</f>
        <v>0</v>
      </c>
      <c r="J28" s="594">
        <v>0</v>
      </c>
      <c r="K28" s="438">
        <f>L28*O28</f>
        <v>0</v>
      </c>
      <c r="L28" s="594">
        <v>0</v>
      </c>
      <c r="M28" s="438">
        <f>N28*O28</f>
        <v>0</v>
      </c>
      <c r="N28" s="594">
        <v>0</v>
      </c>
      <c r="O28" s="439">
        <f>ORÇAMENTO!I30</f>
        <v>5669.04</v>
      </c>
      <c r="P28" s="597">
        <f>(O28/$O$54)</f>
        <v>0.01608516833666743</v>
      </c>
    </row>
    <row r="29" spans="1:16" ht="13.5" customHeight="1">
      <c r="A29" s="421" t="str">
        <f>ORÇAMENTO!A31</f>
        <v>3.2</v>
      </c>
      <c r="B29" s="942" t="str">
        <f>ORÇAMENTO!C31</f>
        <v>Colocação de meio-fio externo (12x15x30x80) - incluindo rejunte e reaterro - fck=25Mpa</v>
      </c>
      <c r="C29" s="943"/>
      <c r="D29" s="943"/>
      <c r="E29" s="438">
        <f>F29*O29</f>
        <v>29282.72</v>
      </c>
      <c r="F29" s="594">
        <v>1</v>
      </c>
      <c r="G29" s="438">
        <f>H29*O29</f>
        <v>0</v>
      </c>
      <c r="H29" s="594">
        <v>0</v>
      </c>
      <c r="I29" s="438">
        <f>J29*O29</f>
        <v>0</v>
      </c>
      <c r="J29" s="594">
        <v>0</v>
      </c>
      <c r="K29" s="438">
        <f>L29*O29</f>
        <v>0</v>
      </c>
      <c r="L29" s="594">
        <v>0</v>
      </c>
      <c r="M29" s="438">
        <f>N29*O29</f>
        <v>0</v>
      </c>
      <c r="N29" s="594">
        <v>0</v>
      </c>
      <c r="O29" s="439">
        <f>ORÇAMENTO!I31</f>
        <v>29282.72</v>
      </c>
      <c r="P29" s="597">
        <f>(O29/$O$54)</f>
        <v>0.08308593351881415</v>
      </c>
    </row>
    <row r="30" spans="1:16" ht="13.5" customHeight="1">
      <c r="A30" s="421" t="str">
        <f>ORÇAMENTO!A32</f>
        <v>3.3</v>
      </c>
      <c r="B30" s="942" t="str">
        <f>ORÇAMENTO!C32</f>
        <v>Pavimentação com lajotas sextavadas - (30 cm x 30 cm x 8 cm) - fck=35 </v>
      </c>
      <c r="C30" s="943"/>
      <c r="D30" s="943"/>
      <c r="E30" s="438">
        <f>F30*O30</f>
        <v>187045.45</v>
      </c>
      <c r="F30" s="594">
        <v>1</v>
      </c>
      <c r="G30" s="438">
        <f>H30*O30</f>
        <v>0</v>
      </c>
      <c r="H30" s="594">
        <v>0</v>
      </c>
      <c r="I30" s="438">
        <f>J30*O30</f>
        <v>0</v>
      </c>
      <c r="J30" s="594">
        <v>0</v>
      </c>
      <c r="K30" s="438">
        <f>L30*O30</f>
        <v>0</v>
      </c>
      <c r="L30" s="594">
        <v>0</v>
      </c>
      <c r="M30" s="438">
        <f>N30*O30</f>
        <v>0</v>
      </c>
      <c r="N30" s="594">
        <v>0</v>
      </c>
      <c r="O30" s="439">
        <f>ORÇAMENTO!I32</f>
        <v>187045.45</v>
      </c>
      <c r="P30" s="597">
        <f>(O30/$O$54)</f>
        <v>0.5307172907331243</v>
      </c>
    </row>
    <row r="31" spans="1:16" ht="13.5" customHeight="1" thickBot="1">
      <c r="A31" s="530"/>
      <c r="B31" s="934"/>
      <c r="C31" s="934"/>
      <c r="D31" s="934"/>
      <c r="E31" s="573"/>
      <c r="F31" s="574"/>
      <c r="G31" s="573"/>
      <c r="H31" s="575"/>
      <c r="I31" s="573"/>
      <c r="J31" s="575"/>
      <c r="K31" s="573"/>
      <c r="L31" s="575"/>
      <c r="M31" s="573"/>
      <c r="N31" s="574"/>
      <c r="O31" s="577"/>
      <c r="P31" s="576"/>
    </row>
    <row r="32" spans="1:16" ht="13.5" customHeight="1">
      <c r="A32" s="514" t="str">
        <f>ORÇAMENTO!A34</f>
        <v>4.0</v>
      </c>
      <c r="B32" s="935" t="str">
        <f>ORÇAMENTO!C34</f>
        <v>PAVIMENTAÇÃO PASSEIO</v>
      </c>
      <c r="C32" s="935"/>
      <c r="D32" s="935"/>
      <c r="E32" s="599">
        <f>SUM(E33:E38)</f>
        <v>51759.93</v>
      </c>
      <c r="F32" s="598">
        <f>E32/$O$32</f>
        <v>1</v>
      </c>
      <c r="G32" s="599">
        <f>SUM(G33:G38)</f>
        <v>0</v>
      </c>
      <c r="H32" s="598">
        <f>G32/$O$32</f>
        <v>0</v>
      </c>
      <c r="I32" s="599">
        <f>SUM(I33:I38)</f>
        <v>0</v>
      </c>
      <c r="J32" s="598">
        <f>I32/$O$32</f>
        <v>0</v>
      </c>
      <c r="K32" s="599">
        <f>SUM(K33:K38)</f>
        <v>0</v>
      </c>
      <c r="L32" s="598">
        <f>K32/$O$32</f>
        <v>0</v>
      </c>
      <c r="M32" s="599">
        <f>SUM(M33:M38)</f>
        <v>0</v>
      </c>
      <c r="N32" s="598">
        <f>M32/$O$32</f>
        <v>0</v>
      </c>
      <c r="O32" s="589">
        <f>SUM(O33:O38)</f>
        <v>51759.93</v>
      </c>
      <c r="P32" s="592">
        <f aca="true" t="shared" si="6" ref="P32:P38">(O32/$O$54)</f>
        <v>0.14686211195266266</v>
      </c>
    </row>
    <row r="33" spans="1:16" ht="13.5" customHeight="1">
      <c r="A33" s="421" t="str">
        <f>ORÇAMENTO!A35</f>
        <v>4.1</v>
      </c>
      <c r="B33" s="933" t="str">
        <f>ORÇAMENTO!C35</f>
        <v>Material para aterro/reaterro (barro, argila ou saibro) - com transporte até 10 km</v>
      </c>
      <c r="C33" s="933"/>
      <c r="D33" s="933"/>
      <c r="E33" s="438">
        <f aca="true" t="shared" si="7" ref="E33:E38">F33*O33</f>
        <v>1081.47</v>
      </c>
      <c r="F33" s="594">
        <v>1</v>
      </c>
      <c r="G33" s="438">
        <f aca="true" t="shared" si="8" ref="G33:G38">H33*O33</f>
        <v>0</v>
      </c>
      <c r="H33" s="594">
        <v>0</v>
      </c>
      <c r="I33" s="438">
        <f aca="true" t="shared" si="9" ref="I33:I38">J33*O33</f>
        <v>0</v>
      </c>
      <c r="J33" s="594">
        <v>0</v>
      </c>
      <c r="K33" s="438">
        <f aca="true" t="shared" si="10" ref="K33:K38">L33*O33</f>
        <v>0</v>
      </c>
      <c r="L33" s="594">
        <v>0</v>
      </c>
      <c r="M33" s="438">
        <f aca="true" t="shared" si="11" ref="M33:M38">N33*O33</f>
        <v>0</v>
      </c>
      <c r="N33" s="594">
        <v>0</v>
      </c>
      <c r="O33" s="439">
        <f>ORÇAMENTO!I35</f>
        <v>1081.47</v>
      </c>
      <c r="P33" s="596">
        <f t="shared" si="6"/>
        <v>0.0030685313564652443</v>
      </c>
    </row>
    <row r="34" spans="1:16" ht="13.5" customHeight="1">
      <c r="A34" s="421" t="str">
        <f>ORÇAMENTO!A36</f>
        <v>4.2</v>
      </c>
      <c r="B34" s="933" t="str">
        <f>ORÇAMENTO!C36</f>
        <v>Regularização e compactação manual de terreno com soquete</v>
      </c>
      <c r="C34" s="933"/>
      <c r="D34" s="933"/>
      <c r="E34" s="438">
        <f>F34*O34</f>
        <v>3402.67</v>
      </c>
      <c r="F34" s="594">
        <v>1</v>
      </c>
      <c r="G34" s="438">
        <f>H34*O34</f>
        <v>0</v>
      </c>
      <c r="H34" s="594">
        <v>0</v>
      </c>
      <c r="I34" s="438">
        <f>J34*O34</f>
        <v>0</v>
      </c>
      <c r="J34" s="594">
        <v>0</v>
      </c>
      <c r="K34" s="438">
        <f>L34*O34</f>
        <v>0</v>
      </c>
      <c r="L34" s="594">
        <v>0</v>
      </c>
      <c r="M34" s="438">
        <f>N34*O34</f>
        <v>0</v>
      </c>
      <c r="N34" s="594">
        <v>0</v>
      </c>
      <c r="O34" s="439">
        <f>ORÇAMENTO!I36</f>
        <v>3402.67</v>
      </c>
      <c r="P34" s="596">
        <f t="shared" si="6"/>
        <v>0.009654636365968167</v>
      </c>
    </row>
    <row r="35" spans="1:16" ht="13.5" customHeight="1">
      <c r="A35" s="421" t="str">
        <f>ORÇAMENTO!A37</f>
        <v>4.3</v>
      </c>
      <c r="B35" s="933" t="str">
        <f>ORÇAMENTO!C37</f>
        <v>Meio-fio interno 15 x 30 x 80 cm - incluindo rejunte e reaterro - fck=25 MPa</v>
      </c>
      <c r="C35" s="933"/>
      <c r="D35" s="933"/>
      <c r="E35" s="438">
        <f t="shared" si="7"/>
        <v>2821</v>
      </c>
      <c r="F35" s="594">
        <v>1</v>
      </c>
      <c r="G35" s="438">
        <f t="shared" si="8"/>
        <v>0</v>
      </c>
      <c r="H35" s="594">
        <v>0</v>
      </c>
      <c r="I35" s="438">
        <f t="shared" si="9"/>
        <v>0</v>
      </c>
      <c r="J35" s="594">
        <v>0</v>
      </c>
      <c r="K35" s="438">
        <f t="shared" si="10"/>
        <v>0</v>
      </c>
      <c r="L35" s="594">
        <v>0</v>
      </c>
      <c r="M35" s="438">
        <f t="shared" si="11"/>
        <v>0</v>
      </c>
      <c r="N35" s="594">
        <v>0</v>
      </c>
      <c r="O35" s="439">
        <f>ORÇAMENTO!I37</f>
        <v>2821</v>
      </c>
      <c r="P35" s="596">
        <f t="shared" si="6"/>
        <v>0.008004222915650415</v>
      </c>
    </row>
    <row r="36" spans="1:16" ht="13.5" customHeight="1">
      <c r="A36" s="421" t="str">
        <f>ORÇAMENTO!A38</f>
        <v>4.4</v>
      </c>
      <c r="B36" s="933" t="str">
        <f>ORÇAMENTO!C38</f>
        <v>Pavimento intertravado paver holand cinza 20 x 10 x 6 cm fck=35 MPa</v>
      </c>
      <c r="C36" s="933"/>
      <c r="D36" s="933"/>
      <c r="E36" s="438">
        <f t="shared" si="7"/>
        <v>33445.81</v>
      </c>
      <c r="F36" s="594">
        <v>1</v>
      </c>
      <c r="G36" s="438">
        <f t="shared" si="8"/>
        <v>0</v>
      </c>
      <c r="H36" s="594">
        <v>0</v>
      </c>
      <c r="I36" s="438">
        <f t="shared" si="9"/>
        <v>0</v>
      </c>
      <c r="J36" s="594">
        <v>0</v>
      </c>
      <c r="K36" s="438">
        <f t="shared" si="10"/>
        <v>0</v>
      </c>
      <c r="L36" s="594">
        <v>0</v>
      </c>
      <c r="M36" s="438">
        <f t="shared" si="11"/>
        <v>0</v>
      </c>
      <c r="N36" s="594">
        <v>0</v>
      </c>
      <c r="O36" s="439">
        <f>ORÇAMENTO!I38</f>
        <v>33445.81</v>
      </c>
      <c r="P36" s="596">
        <f t="shared" si="6"/>
        <v>0.09489816335855716</v>
      </c>
    </row>
    <row r="37" spans="1:16" ht="13.5" customHeight="1">
      <c r="A37" s="421" t="str">
        <f>ORÇAMENTO!A39</f>
        <v>4.5</v>
      </c>
      <c r="B37" s="933" t="str">
        <f>ORÇAMENTO!C39</f>
        <v>Sinalização tátil direcional 20 x 20 x 6 cm fck=35 MPa</v>
      </c>
      <c r="C37" s="933"/>
      <c r="D37" s="933"/>
      <c r="E37" s="438">
        <f t="shared" si="7"/>
        <v>10568.62</v>
      </c>
      <c r="F37" s="594">
        <v>1</v>
      </c>
      <c r="G37" s="438">
        <f t="shared" si="8"/>
        <v>0</v>
      </c>
      <c r="H37" s="594">
        <v>0</v>
      </c>
      <c r="I37" s="438">
        <f t="shared" si="9"/>
        <v>0</v>
      </c>
      <c r="J37" s="594">
        <v>0</v>
      </c>
      <c r="K37" s="438">
        <f t="shared" si="10"/>
        <v>0</v>
      </c>
      <c r="L37" s="594">
        <v>0</v>
      </c>
      <c r="M37" s="438">
        <f t="shared" si="11"/>
        <v>0</v>
      </c>
      <c r="N37" s="594">
        <v>0</v>
      </c>
      <c r="O37" s="439">
        <f>ORÇAMENTO!I39</f>
        <v>10568.62</v>
      </c>
      <c r="P37" s="596">
        <f t="shared" si="6"/>
        <v>0.029987093367884188</v>
      </c>
    </row>
    <row r="38" spans="1:16" ht="13.5" customHeight="1">
      <c r="A38" s="421" t="str">
        <f>ORÇAMENTO!A40</f>
        <v>4.6</v>
      </c>
      <c r="B38" s="933" t="str">
        <f>ORÇAMENTO!C40</f>
        <v>Sinalização tátil de alerta 20 x 20 x 6 cm fck=35 MPa</v>
      </c>
      <c r="C38" s="933"/>
      <c r="D38" s="933"/>
      <c r="E38" s="438">
        <f t="shared" si="7"/>
        <v>440.36</v>
      </c>
      <c r="F38" s="594">
        <v>1</v>
      </c>
      <c r="G38" s="438">
        <f t="shared" si="8"/>
        <v>0</v>
      </c>
      <c r="H38" s="594">
        <v>0</v>
      </c>
      <c r="I38" s="438">
        <f t="shared" si="9"/>
        <v>0</v>
      </c>
      <c r="J38" s="594">
        <v>0</v>
      </c>
      <c r="K38" s="438">
        <f t="shared" si="10"/>
        <v>0</v>
      </c>
      <c r="L38" s="594">
        <v>0</v>
      </c>
      <c r="M38" s="438">
        <f t="shared" si="11"/>
        <v>0</v>
      </c>
      <c r="N38" s="594">
        <v>0</v>
      </c>
      <c r="O38" s="439">
        <f>ORÇAMENTO!I40</f>
        <v>440.36</v>
      </c>
      <c r="P38" s="596">
        <f t="shared" si="6"/>
        <v>0.001249464588137475</v>
      </c>
    </row>
    <row r="39" spans="1:16" ht="13.5" customHeight="1" thickBot="1">
      <c r="A39" s="530"/>
      <c r="B39" s="934"/>
      <c r="C39" s="934"/>
      <c r="D39" s="934"/>
      <c r="E39" s="573"/>
      <c r="F39" s="574"/>
      <c r="G39" s="573"/>
      <c r="H39" s="575"/>
      <c r="I39" s="573"/>
      <c r="J39" s="575"/>
      <c r="K39" s="573"/>
      <c r="L39" s="575"/>
      <c r="M39" s="573"/>
      <c r="N39" s="574"/>
      <c r="O39" s="577"/>
      <c r="P39" s="576"/>
    </row>
    <row r="40" spans="1:16" ht="13.5" customHeight="1">
      <c r="A40" s="514" t="str">
        <f>ORÇAMENTO!A42</f>
        <v>5.0</v>
      </c>
      <c r="B40" s="935" t="str">
        <f>ORÇAMENTO!C42</f>
        <v>RAMPA ACESSO PASSEIO DEFICIENTE FÍSICO</v>
      </c>
      <c r="C40" s="935"/>
      <c r="D40" s="935"/>
      <c r="E40" s="599">
        <f>SUM(E41:E43)</f>
        <v>1395.54</v>
      </c>
      <c r="F40" s="598">
        <f>E40/$O$40</f>
        <v>1</v>
      </c>
      <c r="G40" s="599">
        <f>SUM(G41:G43)</f>
        <v>0</v>
      </c>
      <c r="H40" s="598">
        <f>G40/$O$40</f>
        <v>0</v>
      </c>
      <c r="I40" s="599">
        <f>SUM(I41:I43)</f>
        <v>0</v>
      </c>
      <c r="J40" s="598">
        <f>I40/$O$40</f>
        <v>0</v>
      </c>
      <c r="K40" s="599">
        <f>SUM(K41:K43)</f>
        <v>0</v>
      </c>
      <c r="L40" s="598">
        <f>K40/$O$40</f>
        <v>0</v>
      </c>
      <c r="M40" s="599">
        <f>SUM(M41:M43)</f>
        <v>0</v>
      </c>
      <c r="N40" s="598">
        <f>M40/$O$40</f>
        <v>0</v>
      </c>
      <c r="O40" s="589">
        <f>SUM(O41:O43)</f>
        <v>1395.54</v>
      </c>
      <c r="P40" s="592">
        <f>(O40/$O$54)</f>
        <v>0.003959664391246643</v>
      </c>
    </row>
    <row r="41" spans="1:16" ht="13.5" customHeight="1">
      <c r="A41" s="421" t="str">
        <f>ORÇAMENTO!A43</f>
        <v>5.1</v>
      </c>
      <c r="B41" s="933" t="str">
        <f>ORÇAMENTO!C43</f>
        <v>Concreto simples h=7 cm, virado em betoneira fck=20 MPa</v>
      </c>
      <c r="C41" s="933"/>
      <c r="D41" s="933"/>
      <c r="E41" s="438">
        <f>F41*O41</f>
        <v>1326</v>
      </c>
      <c r="F41" s="594">
        <v>1</v>
      </c>
      <c r="G41" s="438">
        <f>H41*O41</f>
        <v>0</v>
      </c>
      <c r="H41" s="594">
        <v>0</v>
      </c>
      <c r="I41" s="438">
        <f>J41*O41</f>
        <v>0</v>
      </c>
      <c r="J41" s="594">
        <v>0</v>
      </c>
      <c r="K41" s="438">
        <f>L41*O41</f>
        <v>0</v>
      </c>
      <c r="L41" s="594">
        <v>0</v>
      </c>
      <c r="M41" s="438">
        <f>N41*O41</f>
        <v>0</v>
      </c>
      <c r="N41" s="594">
        <v>0</v>
      </c>
      <c r="O41" s="439">
        <f>ORÇAMENTO!I43</f>
        <v>1326</v>
      </c>
      <c r="P41" s="596">
        <f>(O41/$O$54)</f>
        <v>0.003762353628554573</v>
      </c>
    </row>
    <row r="42" spans="1:16" ht="13.5" customHeight="1">
      <c r="A42" s="421" t="str">
        <f>ORÇAMENTO!A44</f>
        <v>5.2</v>
      </c>
      <c r="B42" s="933" t="str">
        <f>ORÇAMENTO!C44</f>
        <v>Pintura símbolo Deficiente Físico - Cor fundo azul 60 x 60 cm</v>
      </c>
      <c r="C42" s="933"/>
      <c r="D42" s="933"/>
      <c r="E42" s="438">
        <f>F42*O42</f>
        <v>63.02</v>
      </c>
      <c r="F42" s="594">
        <v>1</v>
      </c>
      <c r="G42" s="438">
        <f>H42*O42</f>
        <v>0</v>
      </c>
      <c r="H42" s="594">
        <v>0</v>
      </c>
      <c r="I42" s="438">
        <f>J42*O42</f>
        <v>0</v>
      </c>
      <c r="J42" s="594">
        <v>0</v>
      </c>
      <c r="K42" s="438">
        <f>L42*O42</f>
        <v>0</v>
      </c>
      <c r="L42" s="594">
        <v>0</v>
      </c>
      <c r="M42" s="438">
        <f>N42*O42</f>
        <v>0</v>
      </c>
      <c r="N42" s="594">
        <v>0</v>
      </c>
      <c r="O42" s="439">
        <f>ORÇAMENTO!I44</f>
        <v>63.02</v>
      </c>
      <c r="P42" s="596">
        <f>(O42/$O$54)</f>
        <v>0.00017881110533296318</v>
      </c>
    </row>
    <row r="43" spans="1:16" ht="13.5" customHeight="1">
      <c r="A43" s="421" t="str">
        <f>ORÇAMENTO!A45</f>
        <v>5.3</v>
      </c>
      <c r="B43" s="933" t="str">
        <f>ORÇAMENTO!C45</f>
        <v>Pintura símbolo Deficiente Físico - Pictograma cor branca</v>
      </c>
      <c r="C43" s="933"/>
      <c r="D43" s="933"/>
      <c r="E43" s="438">
        <f>F43*O43</f>
        <v>6.52</v>
      </c>
      <c r="F43" s="594">
        <v>1</v>
      </c>
      <c r="G43" s="438">
        <f>H43*O43</f>
        <v>0</v>
      </c>
      <c r="H43" s="594">
        <v>0</v>
      </c>
      <c r="I43" s="438">
        <f>J43*O43</f>
        <v>0</v>
      </c>
      <c r="J43" s="594">
        <v>0</v>
      </c>
      <c r="K43" s="438">
        <f>L43*O43</f>
        <v>0</v>
      </c>
      <c r="L43" s="594">
        <v>0</v>
      </c>
      <c r="M43" s="438">
        <f>N43*O43</f>
        <v>0</v>
      </c>
      <c r="N43" s="594">
        <v>0</v>
      </c>
      <c r="O43" s="439">
        <f>ORÇAMENTO!I45</f>
        <v>6.52</v>
      </c>
      <c r="P43" s="596">
        <f>(O43/$O$54)</f>
        <v>1.8499657359106947E-05</v>
      </c>
    </row>
    <row r="44" spans="1:16" ht="13.5" customHeight="1" thickBot="1">
      <c r="A44" s="530"/>
      <c r="B44" s="934"/>
      <c r="C44" s="934"/>
      <c r="D44" s="934"/>
      <c r="E44" s="573"/>
      <c r="F44" s="574"/>
      <c r="G44" s="573"/>
      <c r="H44" s="575"/>
      <c r="I44" s="573"/>
      <c r="J44" s="575"/>
      <c r="K44" s="573"/>
      <c r="L44" s="575"/>
      <c r="M44" s="573"/>
      <c r="N44" s="574"/>
      <c r="O44" s="577"/>
      <c r="P44" s="576"/>
    </row>
    <row r="45" spans="1:16" ht="13.5" customHeight="1">
      <c r="A45" s="514" t="str">
        <f>ORÇAMENTO!A47</f>
        <v>6.0</v>
      </c>
      <c r="B45" s="935" t="str">
        <f>ORÇAMENTO!C47</f>
        <v>SINALIZAÇÃO</v>
      </c>
      <c r="C45" s="935"/>
      <c r="D45" s="935"/>
      <c r="E45" s="599">
        <f>SUM(E46:E52)</f>
        <v>0</v>
      </c>
      <c r="F45" s="598">
        <f>E45/$O$45</f>
        <v>0</v>
      </c>
      <c r="G45" s="599">
        <f>SUM(G46:G52)</f>
        <v>5303.830000000001</v>
      </c>
      <c r="H45" s="598">
        <f>G45/$O$45</f>
        <v>1</v>
      </c>
      <c r="I45" s="599">
        <f>SUM(I46:I52)</f>
        <v>0</v>
      </c>
      <c r="J45" s="598">
        <f>I45/$O$45</f>
        <v>0</v>
      </c>
      <c r="K45" s="599">
        <f>SUM(K46:K52)</f>
        <v>0</v>
      </c>
      <c r="L45" s="598">
        <f>K45/$O$45</f>
        <v>0</v>
      </c>
      <c r="M45" s="599">
        <f>SUM(M46:M52)</f>
        <v>0</v>
      </c>
      <c r="N45" s="598">
        <f>M45/$O$45</f>
        <v>0</v>
      </c>
      <c r="O45" s="589">
        <f>SUM(O46:O52)</f>
        <v>5303.830000000001</v>
      </c>
      <c r="P45" s="592">
        <f>(O45/$O$54)</f>
        <v>0.015048932161188992</v>
      </c>
    </row>
    <row r="46" spans="1:16" ht="13.5" customHeight="1">
      <c r="A46" s="421" t="str">
        <f>ORÇAMENTO!A48</f>
        <v>6.1</v>
      </c>
      <c r="B46" s="933" t="str">
        <f>ORÇAMENTO!C48</f>
        <v>Pintura faixa de travessia de pedestres zebrada - FTP-1 cor branca</v>
      </c>
      <c r="C46" s="933"/>
      <c r="D46" s="933"/>
      <c r="E46" s="438">
        <f aca="true" t="shared" si="12" ref="E46:E52">F46*O46</f>
        <v>0</v>
      </c>
      <c r="F46" s="594">
        <v>0</v>
      </c>
      <c r="G46" s="438">
        <f aca="true" t="shared" si="13" ref="G46:G52">H46*O46</f>
        <v>1093.02</v>
      </c>
      <c r="H46" s="594">
        <v>1</v>
      </c>
      <c r="I46" s="438">
        <f aca="true" t="shared" si="14" ref="I46:I52">J46*O46</f>
        <v>0</v>
      </c>
      <c r="J46" s="594">
        <v>0</v>
      </c>
      <c r="K46" s="438">
        <f aca="true" t="shared" si="15" ref="K46:K52">L46*O46</f>
        <v>0</v>
      </c>
      <c r="L46" s="594">
        <v>0</v>
      </c>
      <c r="M46" s="438">
        <f aca="true" t="shared" si="16" ref="M46:M52">N46*O46</f>
        <v>0</v>
      </c>
      <c r="N46" s="594">
        <v>0</v>
      </c>
      <c r="O46" s="439">
        <f>ORÇAMENTO!I48</f>
        <v>1093.02</v>
      </c>
      <c r="P46" s="596">
        <f aca="true" t="shared" si="17" ref="P46:P52">(O46/$O$54)</f>
        <v>0.0031013029887501653</v>
      </c>
    </row>
    <row r="47" spans="1:16" ht="13.5" customHeight="1">
      <c r="A47" s="421" t="str">
        <f>ORÇAMENTO!A49</f>
        <v>6.2</v>
      </c>
      <c r="B47" s="933" t="str">
        <f>ORÇAMENTO!C49</f>
        <v>Placa de regulamentação R-1 - (Parada obrigatória)*</v>
      </c>
      <c r="C47" s="933"/>
      <c r="D47" s="933"/>
      <c r="E47" s="438">
        <f t="shared" si="12"/>
        <v>0</v>
      </c>
      <c r="F47" s="594">
        <v>0</v>
      </c>
      <c r="G47" s="438">
        <f t="shared" si="13"/>
        <v>559.22</v>
      </c>
      <c r="H47" s="594">
        <v>1</v>
      </c>
      <c r="I47" s="438">
        <f t="shared" si="14"/>
        <v>0</v>
      </c>
      <c r="J47" s="594">
        <v>0</v>
      </c>
      <c r="K47" s="438">
        <f t="shared" si="15"/>
        <v>0</v>
      </c>
      <c r="L47" s="594">
        <v>0</v>
      </c>
      <c r="M47" s="438">
        <f t="shared" si="16"/>
        <v>0</v>
      </c>
      <c r="N47" s="594">
        <v>0</v>
      </c>
      <c r="O47" s="439">
        <f>ORÇAMENTO!I49</f>
        <v>559.22</v>
      </c>
      <c r="P47" s="596">
        <f t="shared" si="17"/>
        <v>0.0015867144767422988</v>
      </c>
    </row>
    <row r="48" spans="1:16" ht="13.5" customHeight="1">
      <c r="A48" s="421" t="str">
        <f>ORÇAMENTO!A50</f>
        <v>6.3</v>
      </c>
      <c r="B48" s="933" t="str">
        <f>ORÇAMENTO!C50</f>
        <v>Placa regulamentadora R-19- (Velocidade maxima permitida)*</v>
      </c>
      <c r="C48" s="933"/>
      <c r="D48" s="933"/>
      <c r="E48" s="438">
        <f t="shared" si="12"/>
        <v>0</v>
      </c>
      <c r="F48" s="594">
        <v>0</v>
      </c>
      <c r="G48" s="438">
        <f t="shared" si="13"/>
        <v>447.37</v>
      </c>
      <c r="H48" s="594">
        <v>1</v>
      </c>
      <c r="I48" s="438">
        <f t="shared" si="14"/>
        <v>0</v>
      </c>
      <c r="J48" s="594">
        <v>0</v>
      </c>
      <c r="K48" s="438">
        <f t="shared" si="15"/>
        <v>0</v>
      </c>
      <c r="L48" s="594">
        <v>0</v>
      </c>
      <c r="M48" s="438">
        <f t="shared" si="16"/>
        <v>0</v>
      </c>
      <c r="N48" s="594">
        <v>0</v>
      </c>
      <c r="O48" s="439">
        <f>ORÇAMENTO!I50</f>
        <v>447.37</v>
      </c>
      <c r="P48" s="596">
        <f t="shared" si="17"/>
        <v>0.0012693545571692754</v>
      </c>
    </row>
    <row r="49" spans="1:16" ht="13.5" customHeight="1">
      <c r="A49" s="421" t="str">
        <f>ORÇAMENTO!A51</f>
        <v>6.4</v>
      </c>
      <c r="B49" s="933" t="str">
        <f>ORÇAMENTO!C51</f>
        <v>Placa de advertência A-32b - (Passagem sinalizada de pedestres)*</v>
      </c>
      <c r="C49" s="933"/>
      <c r="D49" s="933"/>
      <c r="E49" s="438">
        <f t="shared" si="12"/>
        <v>0</v>
      </c>
      <c r="F49" s="594">
        <v>0</v>
      </c>
      <c r="G49" s="438">
        <f t="shared" si="13"/>
        <v>1081.15</v>
      </c>
      <c r="H49" s="594">
        <v>1</v>
      </c>
      <c r="I49" s="438">
        <f t="shared" si="14"/>
        <v>0</v>
      </c>
      <c r="J49" s="594">
        <v>0</v>
      </c>
      <c r="K49" s="438">
        <f t="shared" si="15"/>
        <v>0</v>
      </c>
      <c r="L49" s="594">
        <v>0</v>
      </c>
      <c r="M49" s="438">
        <f t="shared" si="16"/>
        <v>0</v>
      </c>
      <c r="N49" s="594">
        <v>0</v>
      </c>
      <c r="O49" s="439">
        <f>ORÇAMENTO!I51</f>
        <v>1081.15</v>
      </c>
      <c r="P49" s="596">
        <f t="shared" si="17"/>
        <v>0.0030676233978218525</v>
      </c>
    </row>
    <row r="50" spans="1:16" ht="13.5" customHeight="1">
      <c r="A50" s="421" t="str">
        <f>ORÇAMENTO!A52</f>
        <v>6.5</v>
      </c>
      <c r="B50" s="933" t="str">
        <f>ORÇAMENTO!C52</f>
        <v>Placa de advertência A-45 - (Rua sem saída)*</v>
      </c>
      <c r="C50" s="933"/>
      <c r="D50" s="933"/>
      <c r="E50" s="438">
        <f t="shared" si="12"/>
        <v>0</v>
      </c>
      <c r="F50" s="594">
        <v>0</v>
      </c>
      <c r="G50" s="438">
        <f t="shared" si="13"/>
        <v>111.84</v>
      </c>
      <c r="H50" s="594">
        <v>1</v>
      </c>
      <c r="I50" s="438">
        <f t="shared" si="14"/>
        <v>0</v>
      </c>
      <c r="J50" s="594">
        <v>0</v>
      </c>
      <c r="K50" s="438">
        <f t="shared" si="15"/>
        <v>0</v>
      </c>
      <c r="L50" s="594">
        <v>0</v>
      </c>
      <c r="M50" s="438">
        <f t="shared" si="16"/>
        <v>0</v>
      </c>
      <c r="N50" s="594">
        <v>0</v>
      </c>
      <c r="O50" s="439">
        <f>ORÇAMENTO!I52</f>
        <v>111.84</v>
      </c>
      <c r="P50" s="596">
        <f t="shared" si="17"/>
        <v>0.0003173315458654174</v>
      </c>
    </row>
    <row r="51" spans="1:16" ht="13.5" customHeight="1">
      <c r="A51" s="421" t="str">
        <f>ORÇAMENTO!A53</f>
        <v>6.6</v>
      </c>
      <c r="B51" s="933" t="str">
        <f>ORÇAMENTO!C53</f>
        <v>Tubo de aço galvanizado c/ costura DIN 2440/NBR 5580 classe media DN 1.1/4" (32mm) e=3,25mm - 3,14kg/m</v>
      </c>
      <c r="C51" s="933"/>
      <c r="D51" s="933"/>
      <c r="E51" s="438">
        <f t="shared" si="12"/>
        <v>0</v>
      </c>
      <c r="F51" s="594">
        <v>0</v>
      </c>
      <c r="G51" s="438">
        <f t="shared" si="13"/>
        <v>1762.72</v>
      </c>
      <c r="H51" s="594">
        <v>1</v>
      </c>
      <c r="I51" s="438">
        <f t="shared" si="14"/>
        <v>0</v>
      </c>
      <c r="J51" s="594">
        <v>0</v>
      </c>
      <c r="K51" s="438">
        <f t="shared" si="15"/>
        <v>0</v>
      </c>
      <c r="L51" s="594">
        <v>0</v>
      </c>
      <c r="M51" s="438">
        <f t="shared" si="16"/>
        <v>0</v>
      </c>
      <c r="N51" s="594">
        <v>0</v>
      </c>
      <c r="O51" s="439">
        <f>ORÇAMENTO!I53</f>
        <v>1762.72</v>
      </c>
      <c r="P51" s="596">
        <f t="shared" si="17"/>
        <v>0.005001490187123467</v>
      </c>
    </row>
    <row r="52" spans="1:16" ht="13.5" customHeight="1">
      <c r="A52" s="421" t="str">
        <f>ORÇAMENTO!A54</f>
        <v>6.7</v>
      </c>
      <c r="B52" s="933" t="str">
        <f>ORÇAMENTO!C54</f>
        <v>Placa de Identificação de rua</v>
      </c>
      <c r="C52" s="933"/>
      <c r="D52" s="933"/>
      <c r="E52" s="438">
        <f t="shared" si="12"/>
        <v>0</v>
      </c>
      <c r="F52" s="594">
        <v>0</v>
      </c>
      <c r="G52" s="438">
        <f t="shared" si="13"/>
        <v>248.51</v>
      </c>
      <c r="H52" s="594">
        <v>1</v>
      </c>
      <c r="I52" s="438">
        <f t="shared" si="14"/>
        <v>0</v>
      </c>
      <c r="J52" s="594">
        <v>0</v>
      </c>
      <c r="K52" s="438">
        <f t="shared" si="15"/>
        <v>0</v>
      </c>
      <c r="L52" s="594">
        <v>0</v>
      </c>
      <c r="M52" s="438">
        <f t="shared" si="16"/>
        <v>0</v>
      </c>
      <c r="N52" s="594">
        <v>0</v>
      </c>
      <c r="O52" s="439">
        <f>ORÇAMENTO!I54</f>
        <v>248.51</v>
      </c>
      <c r="P52" s="596">
        <f t="shared" si="17"/>
        <v>0.0007051150077165135</v>
      </c>
    </row>
    <row r="53" spans="1:16" ht="13.5" customHeight="1" thickBot="1">
      <c r="A53" s="580"/>
      <c r="B53" s="961"/>
      <c r="C53" s="962"/>
      <c r="D53" s="962"/>
      <c r="E53" s="570"/>
      <c r="F53" s="571"/>
      <c r="G53" s="570"/>
      <c r="H53" s="572"/>
      <c r="I53" s="570"/>
      <c r="J53" s="571"/>
      <c r="K53" s="570"/>
      <c r="L53" s="571"/>
      <c r="M53" s="570"/>
      <c r="N53" s="571"/>
      <c r="O53" s="442"/>
      <c r="P53" s="443"/>
    </row>
    <row r="54" spans="1:16" s="9" customFormat="1" ht="13.5" customHeight="1">
      <c r="A54" s="963" t="s">
        <v>495</v>
      </c>
      <c r="B54" s="964"/>
      <c r="C54" s="964"/>
      <c r="D54" s="964"/>
      <c r="E54" s="578">
        <f>E10+E13+E27+E32+E40+E45</f>
        <v>347135.13</v>
      </c>
      <c r="F54" s="579">
        <f>IF($O$54&lt;&gt;0,E54*100/$O$54,0)</f>
        <v>98.4951067838811</v>
      </c>
      <c r="G54" s="578">
        <f>G10+G13+G27+G32+G40+G45</f>
        <v>5303.830000000001</v>
      </c>
      <c r="H54" s="579">
        <f>IF($O$54&lt;&gt;0,G54*100/$O$54,0)</f>
        <v>1.5048932161188993</v>
      </c>
      <c r="I54" s="578">
        <f>I10+I13+I27+I32+I40+I45</f>
        <v>0</v>
      </c>
      <c r="J54" s="579">
        <f>IF($O$54&lt;&gt;0,I54*100/$O$54,0)</f>
        <v>0</v>
      </c>
      <c r="K54" s="578">
        <f>K10+K13+K27+K32+K40+K45</f>
        <v>0</v>
      </c>
      <c r="L54" s="579">
        <f>IF($O$54&lt;&gt;0,K54*100/$O$54,0)</f>
        <v>0</v>
      </c>
      <c r="M54" s="578">
        <f>M10+M13+M27+M32+M40+M45</f>
        <v>0</v>
      </c>
      <c r="N54" s="578">
        <f>N10+N13+N27+N32+N40+N45</f>
        <v>0</v>
      </c>
      <c r="O54" s="591">
        <f>O10+O13+O27+O32+O40+O45</f>
        <v>352438.96</v>
      </c>
      <c r="P54" s="595">
        <f>P10+P27+P13+P32+P40+P45</f>
        <v>0.9999999999999999</v>
      </c>
    </row>
    <row r="55" spans="1:16" s="9" customFormat="1" ht="13.5" customHeight="1" thickBot="1">
      <c r="A55" s="965" t="s">
        <v>496</v>
      </c>
      <c r="B55" s="966"/>
      <c r="C55" s="966"/>
      <c r="D55" s="966"/>
      <c r="E55" s="440">
        <f>E54</f>
        <v>347135.13</v>
      </c>
      <c r="F55" s="441">
        <f>F54</f>
        <v>98.4951067838811</v>
      </c>
      <c r="G55" s="440">
        <f aca="true" t="shared" si="18" ref="G55:L55">E55+G54</f>
        <v>352438.96</v>
      </c>
      <c r="H55" s="441">
        <f>F55+H54</f>
        <v>100</v>
      </c>
      <c r="I55" s="440">
        <f t="shared" si="18"/>
        <v>352438.96</v>
      </c>
      <c r="J55" s="441">
        <f t="shared" si="18"/>
        <v>100</v>
      </c>
      <c r="K55" s="440">
        <f t="shared" si="18"/>
        <v>352438.96</v>
      </c>
      <c r="L55" s="441">
        <f t="shared" si="18"/>
        <v>100</v>
      </c>
      <c r="M55" s="440">
        <f>K55+M54</f>
        <v>352438.96</v>
      </c>
      <c r="N55" s="441">
        <f>L55+N54</f>
        <v>100</v>
      </c>
      <c r="O55" s="442"/>
      <c r="P55" s="443"/>
    </row>
    <row r="56" spans="1:16" s="9" customFormat="1" ht="13.5" customHeight="1" thickBot="1">
      <c r="A56" s="601"/>
      <c r="B56" s="601"/>
      <c r="C56" s="601"/>
      <c r="D56" s="602"/>
      <c r="E56" s="603"/>
      <c r="F56" s="604"/>
      <c r="G56" s="605"/>
      <c r="H56" s="604"/>
      <c r="I56" s="605"/>
      <c r="J56" s="604"/>
      <c r="K56" s="605"/>
      <c r="L56" s="604"/>
      <c r="M56" s="606"/>
      <c r="N56" s="607"/>
      <c r="O56" s="608"/>
      <c r="P56" s="608"/>
    </row>
    <row r="57" spans="1:16" ht="13.5" customHeight="1">
      <c r="A57" s="967" t="s">
        <v>497</v>
      </c>
      <c r="B57" s="957"/>
      <c r="C57" s="957"/>
      <c r="D57" s="957"/>
      <c r="E57" s="967" t="s">
        <v>567</v>
      </c>
      <c r="F57" s="957"/>
      <c r="G57" s="957"/>
      <c r="H57" s="957"/>
      <c r="I57" s="957"/>
      <c r="J57" s="957"/>
      <c r="K57" s="957"/>
      <c r="L57" s="958"/>
      <c r="M57" s="612"/>
      <c r="N57" s="957" t="s">
        <v>498</v>
      </c>
      <c r="O57" s="957"/>
      <c r="P57" s="958"/>
    </row>
    <row r="58" spans="1:16" ht="13.5" customHeight="1">
      <c r="A58" s="968"/>
      <c r="B58" s="969"/>
      <c r="C58" s="969"/>
      <c r="D58" s="969"/>
      <c r="E58" s="970" t="str">
        <f>'dados de entrada'!B6</f>
        <v>Carlos Alberto Bley</v>
      </c>
      <c r="F58" s="971"/>
      <c r="G58" s="971"/>
      <c r="H58" s="971"/>
      <c r="I58" s="971"/>
      <c r="J58" s="971"/>
      <c r="K58" s="971"/>
      <c r="L58" s="972"/>
      <c r="M58" s="613"/>
      <c r="N58" s="600"/>
      <c r="O58" s="600"/>
      <c r="P58" s="609"/>
    </row>
    <row r="59" spans="1:16" ht="13.5" customHeight="1">
      <c r="A59" s="952">
        <f>'dados de entrada'!B3</f>
        <v>41671</v>
      </c>
      <c r="B59" s="953"/>
      <c r="C59" s="953"/>
      <c r="D59" s="953"/>
      <c r="E59" s="968" t="s">
        <v>568</v>
      </c>
      <c r="F59" s="969"/>
      <c r="G59" s="969"/>
      <c r="H59" s="969"/>
      <c r="I59" s="969"/>
      <c r="J59" s="969"/>
      <c r="K59" s="969"/>
      <c r="L59" s="976"/>
      <c r="M59" s="600"/>
      <c r="N59" s="600"/>
      <c r="O59" s="600"/>
      <c r="P59" s="609"/>
    </row>
    <row r="60" spans="1:16" ht="13.5" customHeight="1" thickBot="1">
      <c r="A60" s="954"/>
      <c r="B60" s="955"/>
      <c r="C60" s="955"/>
      <c r="D60" s="955"/>
      <c r="E60" s="977" t="str">
        <f>'dados de entrada'!B17</f>
        <v>Engenheiro Civil - CREA SC 008.333-3</v>
      </c>
      <c r="F60" s="978"/>
      <c r="G60" s="978"/>
      <c r="H60" s="978"/>
      <c r="I60" s="978"/>
      <c r="J60" s="978"/>
      <c r="K60" s="978"/>
      <c r="L60" s="979"/>
      <c r="M60" s="610"/>
      <c r="N60" s="610"/>
      <c r="O60" s="610"/>
      <c r="P60" s="611"/>
    </row>
    <row r="61" spans="1:16" ht="16.5" customHeight="1">
      <c r="A61" s="973"/>
      <c r="B61" s="973"/>
      <c r="C61" s="973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</row>
    <row r="62" spans="1:16" ht="16.5" customHeight="1">
      <c r="A62" s="960" t="s">
        <v>499</v>
      </c>
      <c r="B62" s="960"/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</row>
    <row r="63" spans="1:16" ht="6.75" customHeight="1">
      <c r="A63" s="959"/>
      <c r="B63" s="959"/>
      <c r="C63" s="959"/>
      <c r="D63" s="959"/>
      <c r="E63" s="959"/>
      <c r="F63" s="959"/>
      <c r="G63" s="959"/>
      <c r="H63" s="959"/>
      <c r="I63" s="959"/>
      <c r="J63" s="959"/>
      <c r="K63" s="959"/>
      <c r="L63" s="959"/>
      <c r="M63" s="959"/>
      <c r="N63" s="959"/>
      <c r="O63" s="959"/>
      <c r="P63" s="959"/>
    </row>
    <row r="64" spans="1:16" ht="12.75">
      <c r="A64" s="960" t="s">
        <v>500</v>
      </c>
      <c r="B64" s="960"/>
      <c r="C64" s="960"/>
      <c r="D64" s="960"/>
      <c r="E64" s="960"/>
      <c r="F64" s="960"/>
      <c r="G64" s="960"/>
      <c r="H64" s="960"/>
      <c r="I64" s="960"/>
      <c r="J64" s="960"/>
      <c r="K64" s="960"/>
      <c r="L64" s="960"/>
      <c r="M64" s="960"/>
      <c r="N64" s="960"/>
      <c r="O64" s="960"/>
      <c r="P64" s="960"/>
    </row>
  </sheetData>
  <sheetProtection/>
  <mergeCells count="83">
    <mergeCell ref="B22:D22"/>
    <mergeCell ref="A7:A9"/>
    <mergeCell ref="B7:D9"/>
    <mergeCell ref="E7:N7"/>
    <mergeCell ref="E8:F8"/>
    <mergeCell ref="D3:N3"/>
    <mergeCell ref="A4:C4"/>
    <mergeCell ref="A5:C5"/>
    <mergeCell ref="B21:D21"/>
    <mergeCell ref="E6:N6"/>
    <mergeCell ref="S1:X1"/>
    <mergeCell ref="Y1:Y2"/>
    <mergeCell ref="A2:N2"/>
    <mergeCell ref="S2:X2"/>
    <mergeCell ref="O3:P4"/>
    <mergeCell ref="S3:X3"/>
    <mergeCell ref="O1:P2"/>
    <mergeCell ref="A3:C3"/>
    <mergeCell ref="A1:N1"/>
    <mergeCell ref="E59:L59"/>
    <mergeCell ref="E60:L60"/>
    <mergeCell ref="G8:H8"/>
    <mergeCell ref="I8:J8"/>
    <mergeCell ref="K8:L8"/>
    <mergeCell ref="B19:D19"/>
    <mergeCell ref="B33:D33"/>
    <mergeCell ref="B24:D24"/>
    <mergeCell ref="B48:D48"/>
    <mergeCell ref="A63:P63"/>
    <mergeCell ref="A64:P64"/>
    <mergeCell ref="B53:D53"/>
    <mergeCell ref="A54:D54"/>
    <mergeCell ref="A55:D55"/>
    <mergeCell ref="A57:D58"/>
    <mergeCell ref="E57:L57"/>
    <mergeCell ref="E58:L58"/>
    <mergeCell ref="A61:P61"/>
    <mergeCell ref="A62:P62"/>
    <mergeCell ref="N57:P57"/>
    <mergeCell ref="B41:D41"/>
    <mergeCell ref="B42:D42"/>
    <mergeCell ref="B36:D36"/>
    <mergeCell ref="B37:D37"/>
    <mergeCell ref="B47:D47"/>
    <mergeCell ref="B38:D38"/>
    <mergeCell ref="B43:D43"/>
    <mergeCell ref="A59:D60"/>
    <mergeCell ref="B49:D49"/>
    <mergeCell ref="B50:D50"/>
    <mergeCell ref="B16:D16"/>
    <mergeCell ref="B17:D17"/>
    <mergeCell ref="B32:D32"/>
    <mergeCell ref="B30:D30"/>
    <mergeCell ref="B25:D25"/>
    <mergeCell ref="B26:D26"/>
    <mergeCell ref="B52:D52"/>
    <mergeCell ref="B44:D44"/>
    <mergeCell ref="B28:D28"/>
    <mergeCell ref="B29:D29"/>
    <mergeCell ref="B34:D34"/>
    <mergeCell ref="B18:D18"/>
    <mergeCell ref="O7:P8"/>
    <mergeCell ref="B23:D23"/>
    <mergeCell ref="B35:D35"/>
    <mergeCell ref="B31:D31"/>
    <mergeCell ref="B27:D27"/>
    <mergeCell ref="D4:N4"/>
    <mergeCell ref="D5:N5"/>
    <mergeCell ref="A6:D6"/>
    <mergeCell ref="B11:D11"/>
    <mergeCell ref="B20:D20"/>
    <mergeCell ref="M8:N8"/>
    <mergeCell ref="B10:D10"/>
    <mergeCell ref="B51:D51"/>
    <mergeCell ref="B39:D39"/>
    <mergeCell ref="B40:D40"/>
    <mergeCell ref="O6:P6"/>
    <mergeCell ref="B12:D12"/>
    <mergeCell ref="B13:D13"/>
    <mergeCell ref="B14:D14"/>
    <mergeCell ref="B15:D15"/>
    <mergeCell ref="B45:D45"/>
    <mergeCell ref="B46:D4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9" customWidth="1"/>
    <col min="4" max="4" width="9.7109375" style="169" customWidth="1"/>
    <col min="5" max="5" width="10.57421875" style="169" customWidth="1"/>
    <col min="6" max="6" width="20.140625" style="169" bestFit="1" customWidth="1"/>
    <col min="7" max="8" width="9.7109375" style="169" customWidth="1"/>
    <col min="9" max="9" width="19.57421875" style="169" customWidth="1"/>
    <col min="10" max="11" width="10.00390625" style="169" customWidth="1"/>
    <col min="12" max="12" width="16.28125" style="169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094"/>
      <c r="B1" s="1095"/>
      <c r="C1" s="1098" t="s">
        <v>467</v>
      </c>
      <c r="D1" s="1098"/>
      <c r="E1" s="1098"/>
      <c r="F1" s="1099" t="str">
        <f>'dados de entrada'!B4</f>
        <v>BOMBINHAS</v>
      </c>
      <c r="G1" s="1100"/>
      <c r="H1" s="1100"/>
      <c r="I1" s="1100"/>
      <c r="J1" s="1100"/>
      <c r="K1" s="1100"/>
      <c r="L1" s="1101"/>
      <c r="M1" s="1102" t="s">
        <v>501</v>
      </c>
      <c r="N1" s="1104"/>
      <c r="O1" s="991" t="s">
        <v>502</v>
      </c>
      <c r="Q1" s="436"/>
    </row>
    <row r="2" spans="1:17" ht="26.25" customHeight="1">
      <c r="A2" s="1096"/>
      <c r="B2" s="1097"/>
      <c r="C2" s="1107" t="s">
        <v>17</v>
      </c>
      <c r="D2" s="1107"/>
      <c r="E2" s="1107"/>
      <c r="F2" s="1108" t="str">
        <f>'dados de entrada'!B8</f>
        <v>PAVIMENTAÇÃO COM LAJOTAS SEXTAVADAS E DRENAGEM PLUVIAL </v>
      </c>
      <c r="G2" s="1109"/>
      <c r="H2" s="1109"/>
      <c r="I2" s="1109"/>
      <c r="J2" s="1109"/>
      <c r="K2" s="1109"/>
      <c r="L2" s="1110"/>
      <c r="M2" s="1103"/>
      <c r="N2" s="1105"/>
      <c r="O2" s="993"/>
      <c r="P2" s="436"/>
      <c r="Q2" s="436"/>
    </row>
    <row r="3" spans="1:17" ht="29.25" customHeight="1">
      <c r="A3" s="1111" t="s">
        <v>503</v>
      </c>
      <c r="B3" s="1112"/>
      <c r="C3" s="1113" t="s">
        <v>504</v>
      </c>
      <c r="D3" s="1113"/>
      <c r="E3" s="1113"/>
      <c r="F3" s="1080"/>
      <c r="G3" s="1080"/>
      <c r="H3" s="1080"/>
      <c r="I3" s="1080"/>
      <c r="J3" s="1080"/>
      <c r="K3" s="1080"/>
      <c r="L3" s="1080"/>
      <c r="M3" s="1103"/>
      <c r="N3" s="1106"/>
      <c r="O3" s="993"/>
      <c r="P3" s="436"/>
      <c r="Q3" s="436"/>
    </row>
    <row r="4" spans="1:17" ht="19.5" customHeight="1">
      <c r="A4" s="1081" t="s">
        <v>480</v>
      </c>
      <c r="B4" s="1082"/>
      <c r="C4" s="1082"/>
      <c r="D4" s="1082"/>
      <c r="E4" s="1082"/>
      <c r="F4" s="1082"/>
      <c r="G4" s="1083" t="s">
        <v>505</v>
      </c>
      <c r="H4" s="1084"/>
      <c r="I4" s="1087"/>
      <c r="J4" s="1089" t="s">
        <v>506</v>
      </c>
      <c r="K4" s="1091"/>
      <c r="L4" s="1093" t="s">
        <v>507</v>
      </c>
      <c r="M4" s="1069"/>
      <c r="N4" s="1071" t="s">
        <v>508</v>
      </c>
      <c r="O4" s="1073"/>
      <c r="P4" s="444"/>
      <c r="Q4" s="445"/>
    </row>
    <row r="5" spans="1:17" ht="20.25" customHeight="1">
      <c r="A5" s="1059" t="s">
        <v>509</v>
      </c>
      <c r="B5" s="1060"/>
      <c r="C5" s="1060"/>
      <c r="D5" s="1060"/>
      <c r="E5" s="1060"/>
      <c r="F5" s="1061"/>
      <c r="G5" s="1085"/>
      <c r="H5" s="1086"/>
      <c r="I5" s="1088"/>
      <c r="J5" s="1090"/>
      <c r="K5" s="1092"/>
      <c r="L5" s="1093"/>
      <c r="M5" s="1070"/>
      <c r="N5" s="1072"/>
      <c r="O5" s="1074"/>
      <c r="P5" s="446"/>
      <c r="Q5" s="446"/>
    </row>
    <row r="6" spans="1:15" ht="20.25" customHeight="1">
      <c r="A6" s="1059" t="s">
        <v>510</v>
      </c>
      <c r="B6" s="1060"/>
      <c r="C6" s="1060"/>
      <c r="D6" s="1060"/>
      <c r="E6" s="1060"/>
      <c r="F6" s="1061"/>
      <c r="G6" s="1075" t="s">
        <v>511</v>
      </c>
      <c r="H6" s="1076"/>
      <c r="I6" s="1077"/>
      <c r="J6" s="1076" t="s">
        <v>512</v>
      </c>
      <c r="K6" s="1076"/>
      <c r="L6" s="1076"/>
      <c r="M6" s="447" t="s">
        <v>7</v>
      </c>
      <c r="N6" s="1078" t="s">
        <v>513</v>
      </c>
      <c r="O6" s="1079"/>
    </row>
    <row r="7" spans="1:15" ht="21" customHeight="1">
      <c r="A7" s="1059"/>
      <c r="B7" s="1060"/>
      <c r="C7" s="1060"/>
      <c r="D7" s="1060"/>
      <c r="E7" s="1060"/>
      <c r="F7" s="1061"/>
      <c r="G7" s="1065" t="s">
        <v>514</v>
      </c>
      <c r="H7" s="1066"/>
      <c r="I7" s="1067"/>
      <c r="J7" s="1068">
        <f>J9*$M$7</f>
        <v>0</v>
      </c>
      <c r="K7" s="1068"/>
      <c r="L7" s="1068"/>
      <c r="M7" s="448"/>
      <c r="N7" s="1057">
        <f>N9*M7</f>
        <v>0</v>
      </c>
      <c r="O7" s="1058"/>
    </row>
    <row r="8" spans="1:15" ht="20.25" customHeight="1">
      <c r="A8" s="1059" t="s">
        <v>515</v>
      </c>
      <c r="B8" s="1060"/>
      <c r="C8" s="1060"/>
      <c r="D8" s="1060"/>
      <c r="E8" s="1060"/>
      <c r="F8" s="1061"/>
      <c r="G8" s="1065" t="s">
        <v>516</v>
      </c>
      <c r="H8" s="1066"/>
      <c r="I8" s="1067"/>
      <c r="J8" s="1068">
        <f>J9*$M$8</f>
        <v>0</v>
      </c>
      <c r="K8" s="1068"/>
      <c r="L8" s="1068"/>
      <c r="M8" s="448"/>
      <c r="N8" s="1057">
        <f>N9*$M$8</f>
        <v>0</v>
      </c>
      <c r="O8" s="1058"/>
    </row>
    <row r="9" spans="1:15" ht="21" customHeight="1">
      <c r="A9" s="1062"/>
      <c r="B9" s="1063"/>
      <c r="C9" s="1063"/>
      <c r="D9" s="1063"/>
      <c r="E9" s="1063"/>
      <c r="F9" s="1064"/>
      <c r="G9" s="1065" t="s">
        <v>517</v>
      </c>
      <c r="H9" s="1066"/>
      <c r="I9" s="1067"/>
      <c r="J9" s="1068">
        <f>$F$44</f>
        <v>0</v>
      </c>
      <c r="K9" s="1068"/>
      <c r="L9" s="1068"/>
      <c r="M9" s="449">
        <f>M7+M8</f>
        <v>0</v>
      </c>
      <c r="N9" s="1057">
        <f>$I$44</f>
        <v>0</v>
      </c>
      <c r="O9" s="1058"/>
    </row>
    <row r="10" spans="1:15" ht="12.75" customHeight="1" thickBot="1">
      <c r="A10" s="1040" t="s">
        <v>518</v>
      </c>
      <c r="B10" s="1043" t="s">
        <v>519</v>
      </c>
      <c r="C10" s="1046" t="s">
        <v>520</v>
      </c>
      <c r="D10" s="1047"/>
      <c r="E10" s="1047"/>
      <c r="F10" s="1048"/>
      <c r="G10" s="1052" t="s">
        <v>521</v>
      </c>
      <c r="H10" s="1052"/>
      <c r="I10" s="1052"/>
      <c r="J10" s="1052"/>
      <c r="K10" s="1052"/>
      <c r="L10" s="1052"/>
      <c r="M10" s="1052"/>
      <c r="N10" s="1052"/>
      <c r="O10" s="1053"/>
    </row>
    <row r="11" spans="1:15" ht="35.25" customHeight="1" thickBot="1" thickTop="1">
      <c r="A11" s="1041"/>
      <c r="B11" s="1044"/>
      <c r="C11" s="1049"/>
      <c r="D11" s="1050"/>
      <c r="E11" s="1050"/>
      <c r="F11" s="1051"/>
      <c r="G11" s="1052" t="s">
        <v>522</v>
      </c>
      <c r="H11" s="1052"/>
      <c r="I11" s="1054"/>
      <c r="J11" s="1055" t="s">
        <v>523</v>
      </c>
      <c r="K11" s="1056"/>
      <c r="L11" s="1056"/>
      <c r="M11" s="1052" t="s">
        <v>524</v>
      </c>
      <c r="N11" s="1052"/>
      <c r="O11" s="1053"/>
    </row>
    <row r="12" spans="1:15" ht="23.25" thickTop="1">
      <c r="A12" s="1042"/>
      <c r="B12" s="1045"/>
      <c r="C12" s="450" t="s">
        <v>32</v>
      </c>
      <c r="D12" s="450" t="s">
        <v>148</v>
      </c>
      <c r="E12" s="450" t="s">
        <v>525</v>
      </c>
      <c r="F12" s="450" t="s">
        <v>526</v>
      </c>
      <c r="G12" s="450" t="s">
        <v>148</v>
      </c>
      <c r="H12" s="452" t="s">
        <v>7</v>
      </c>
      <c r="I12" s="450" t="s">
        <v>526</v>
      </c>
      <c r="J12" s="450" t="s">
        <v>148</v>
      </c>
      <c r="K12" s="452" t="s">
        <v>7</v>
      </c>
      <c r="L12" s="450" t="s">
        <v>526</v>
      </c>
      <c r="M12" s="450" t="s">
        <v>148</v>
      </c>
      <c r="N12" s="450" t="s">
        <v>7</v>
      </c>
      <c r="O12" s="451" t="s">
        <v>526</v>
      </c>
    </row>
    <row r="13" spans="1:15" ht="12.75">
      <c r="A13" s="453">
        <v>1</v>
      </c>
      <c r="B13" s="454" t="s">
        <v>527</v>
      </c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7"/>
    </row>
    <row r="14" spans="1:15" ht="14.25" customHeight="1">
      <c r="A14" s="455"/>
      <c r="B14" s="456"/>
      <c r="C14" s="457"/>
      <c r="D14" s="458"/>
      <c r="E14" s="459"/>
      <c r="F14" s="460">
        <f>ROUND($D14*$E14,2)</f>
        <v>0</v>
      </c>
      <c r="G14" s="461"/>
      <c r="H14" s="462" t="e">
        <f>G14/D14</f>
        <v>#DIV/0!</v>
      </c>
      <c r="I14" s="463">
        <f>ROUND($G14*$E14,2)</f>
        <v>0</v>
      </c>
      <c r="J14" s="464"/>
      <c r="K14" s="465" t="e">
        <f aca="true" t="shared" si="0" ref="K14:K27">J14/D14</f>
        <v>#DIV/0!</v>
      </c>
      <c r="L14" s="466">
        <f>J14*$E14</f>
        <v>0</v>
      </c>
      <c r="M14" s="467">
        <f>J14+G14</f>
        <v>0</v>
      </c>
      <c r="N14" s="468" t="e">
        <f>H14+K14</f>
        <v>#DIV/0!</v>
      </c>
      <c r="O14" s="469">
        <f aca="true" t="shared" si="1" ref="O14:O42">ROUND($M14*$E14,2)</f>
        <v>0</v>
      </c>
    </row>
    <row r="15" spans="1:15" ht="14.25" customHeight="1">
      <c r="A15" s="455"/>
      <c r="B15" s="456"/>
      <c r="C15" s="457"/>
      <c r="D15" s="458"/>
      <c r="E15" s="459"/>
      <c r="F15" s="460">
        <f>ROUND($D15*$E15,2)</f>
        <v>0</v>
      </c>
      <c r="G15" s="470"/>
      <c r="H15" s="462" t="e">
        <f aca="true" t="shared" si="2" ref="H15:H37">G15/D15</f>
        <v>#DIV/0!</v>
      </c>
      <c r="I15" s="463">
        <f aca="true" t="shared" si="3" ref="I15:I42">ROUND($G15*$E15,2)</f>
        <v>0</v>
      </c>
      <c r="J15" s="464"/>
      <c r="K15" s="465" t="e">
        <f t="shared" si="0"/>
        <v>#DIV/0!</v>
      </c>
      <c r="L15" s="466">
        <f aca="true" t="shared" si="4" ref="L15:L37">J15*$E15</f>
        <v>0</v>
      </c>
      <c r="M15" s="467">
        <f aca="true" t="shared" si="5" ref="M15:M37">J15+G15</f>
        <v>0</v>
      </c>
      <c r="N15" s="468" t="e">
        <f aca="true" t="shared" si="6" ref="N15:N37">H15+K15</f>
        <v>#DIV/0!</v>
      </c>
      <c r="O15" s="469">
        <f t="shared" si="1"/>
        <v>0</v>
      </c>
    </row>
    <row r="16" spans="1:15" ht="14.25" customHeight="1">
      <c r="A16" s="455"/>
      <c r="B16" s="456"/>
      <c r="C16" s="457"/>
      <c r="D16" s="458"/>
      <c r="E16" s="459"/>
      <c r="F16" s="460">
        <f aca="true" t="shared" si="7" ref="F16:F37">ROUND($D16*$E16,2)</f>
        <v>0</v>
      </c>
      <c r="G16" s="471"/>
      <c r="H16" s="462" t="e">
        <f t="shared" si="2"/>
        <v>#DIV/0!</v>
      </c>
      <c r="I16" s="463">
        <f t="shared" si="3"/>
        <v>0</v>
      </c>
      <c r="J16" s="472"/>
      <c r="K16" s="465" t="e">
        <f t="shared" si="0"/>
        <v>#DIV/0!</v>
      </c>
      <c r="L16" s="466">
        <f t="shared" si="4"/>
        <v>0</v>
      </c>
      <c r="M16" s="467">
        <f t="shared" si="5"/>
        <v>0</v>
      </c>
      <c r="N16" s="468" t="e">
        <f t="shared" si="6"/>
        <v>#DIV/0!</v>
      </c>
      <c r="O16" s="469">
        <f t="shared" si="1"/>
        <v>0</v>
      </c>
    </row>
    <row r="17" spans="1:15" ht="14.25" customHeight="1">
      <c r="A17" s="455"/>
      <c r="B17" s="456"/>
      <c r="C17" s="457"/>
      <c r="D17" s="458"/>
      <c r="E17" s="459"/>
      <c r="F17" s="460">
        <f t="shared" si="7"/>
        <v>0</v>
      </c>
      <c r="G17" s="470"/>
      <c r="H17" s="462" t="e">
        <f t="shared" si="2"/>
        <v>#DIV/0!</v>
      </c>
      <c r="I17" s="463">
        <f t="shared" si="3"/>
        <v>0</v>
      </c>
      <c r="J17" s="464"/>
      <c r="K17" s="465" t="e">
        <f t="shared" si="0"/>
        <v>#DIV/0!</v>
      </c>
      <c r="L17" s="466">
        <f t="shared" si="4"/>
        <v>0</v>
      </c>
      <c r="M17" s="467">
        <f t="shared" si="5"/>
        <v>0</v>
      </c>
      <c r="N17" s="468" t="e">
        <f t="shared" si="6"/>
        <v>#DIV/0!</v>
      </c>
      <c r="O17" s="469">
        <f t="shared" si="1"/>
        <v>0</v>
      </c>
    </row>
    <row r="18" spans="1:15" ht="14.25" customHeight="1">
      <c r="A18" s="455"/>
      <c r="B18" s="456"/>
      <c r="C18" s="457"/>
      <c r="D18" s="458"/>
      <c r="E18" s="459"/>
      <c r="F18" s="460">
        <f t="shared" si="7"/>
        <v>0</v>
      </c>
      <c r="G18" s="470"/>
      <c r="H18" s="462" t="e">
        <f t="shared" si="2"/>
        <v>#DIV/0!</v>
      </c>
      <c r="I18" s="463">
        <f t="shared" si="3"/>
        <v>0</v>
      </c>
      <c r="J18" s="464"/>
      <c r="K18" s="465" t="e">
        <f t="shared" si="0"/>
        <v>#DIV/0!</v>
      </c>
      <c r="L18" s="466">
        <f t="shared" si="4"/>
        <v>0</v>
      </c>
      <c r="M18" s="467">
        <f t="shared" si="5"/>
        <v>0</v>
      </c>
      <c r="N18" s="468" t="e">
        <f t="shared" si="6"/>
        <v>#DIV/0!</v>
      </c>
      <c r="O18" s="469">
        <f t="shared" si="1"/>
        <v>0</v>
      </c>
    </row>
    <row r="19" spans="1:15" ht="14.25" customHeight="1">
      <c r="A19" s="455"/>
      <c r="B19" s="456"/>
      <c r="C19" s="457"/>
      <c r="D19" s="458"/>
      <c r="E19" s="459"/>
      <c r="F19" s="460">
        <f t="shared" si="7"/>
        <v>0</v>
      </c>
      <c r="G19" s="470"/>
      <c r="H19" s="462" t="e">
        <f t="shared" si="2"/>
        <v>#DIV/0!</v>
      </c>
      <c r="I19" s="463">
        <f t="shared" si="3"/>
        <v>0</v>
      </c>
      <c r="J19" s="464"/>
      <c r="K19" s="465" t="e">
        <f t="shared" si="0"/>
        <v>#DIV/0!</v>
      </c>
      <c r="L19" s="466">
        <f t="shared" si="4"/>
        <v>0</v>
      </c>
      <c r="M19" s="467">
        <f t="shared" si="5"/>
        <v>0</v>
      </c>
      <c r="N19" s="468" t="e">
        <f t="shared" si="6"/>
        <v>#DIV/0!</v>
      </c>
      <c r="O19" s="469">
        <f t="shared" si="1"/>
        <v>0</v>
      </c>
    </row>
    <row r="20" spans="1:15" ht="14.25" customHeight="1">
      <c r="A20" s="455"/>
      <c r="B20" s="456"/>
      <c r="C20" s="457"/>
      <c r="D20" s="458"/>
      <c r="E20" s="459"/>
      <c r="F20" s="460">
        <f t="shared" si="7"/>
        <v>0</v>
      </c>
      <c r="G20" s="470"/>
      <c r="H20" s="462" t="e">
        <f t="shared" si="2"/>
        <v>#DIV/0!</v>
      </c>
      <c r="I20" s="463">
        <f t="shared" si="3"/>
        <v>0</v>
      </c>
      <c r="J20" s="464"/>
      <c r="K20" s="465" t="e">
        <f t="shared" si="0"/>
        <v>#DIV/0!</v>
      </c>
      <c r="L20" s="466">
        <f t="shared" si="4"/>
        <v>0</v>
      </c>
      <c r="M20" s="467">
        <f t="shared" si="5"/>
        <v>0</v>
      </c>
      <c r="N20" s="468" t="e">
        <f t="shared" si="6"/>
        <v>#DIV/0!</v>
      </c>
      <c r="O20" s="469">
        <f t="shared" si="1"/>
        <v>0</v>
      </c>
    </row>
    <row r="21" spans="1:15" ht="14.25" customHeight="1">
      <c r="A21" s="455"/>
      <c r="B21" s="456"/>
      <c r="C21" s="457"/>
      <c r="D21" s="458"/>
      <c r="E21" s="459"/>
      <c r="F21" s="460">
        <f t="shared" si="7"/>
        <v>0</v>
      </c>
      <c r="G21" s="470"/>
      <c r="H21" s="462" t="e">
        <f t="shared" si="2"/>
        <v>#DIV/0!</v>
      </c>
      <c r="I21" s="463">
        <f t="shared" si="3"/>
        <v>0</v>
      </c>
      <c r="J21" s="464"/>
      <c r="K21" s="465" t="e">
        <f t="shared" si="0"/>
        <v>#DIV/0!</v>
      </c>
      <c r="L21" s="466">
        <f t="shared" si="4"/>
        <v>0</v>
      </c>
      <c r="M21" s="467">
        <f t="shared" si="5"/>
        <v>0</v>
      </c>
      <c r="N21" s="468" t="e">
        <f t="shared" si="6"/>
        <v>#DIV/0!</v>
      </c>
      <c r="O21" s="469">
        <f t="shared" si="1"/>
        <v>0</v>
      </c>
    </row>
    <row r="22" spans="1:15" ht="14.25" customHeight="1">
      <c r="A22" s="455"/>
      <c r="B22" s="456"/>
      <c r="C22" s="457"/>
      <c r="D22" s="458"/>
      <c r="E22" s="459"/>
      <c r="F22" s="460">
        <f t="shared" si="7"/>
        <v>0</v>
      </c>
      <c r="G22" s="470"/>
      <c r="H22" s="462" t="e">
        <f t="shared" si="2"/>
        <v>#DIV/0!</v>
      </c>
      <c r="I22" s="463">
        <f t="shared" si="3"/>
        <v>0</v>
      </c>
      <c r="J22" s="464"/>
      <c r="K22" s="465" t="e">
        <f t="shared" si="0"/>
        <v>#DIV/0!</v>
      </c>
      <c r="L22" s="466">
        <f t="shared" si="4"/>
        <v>0</v>
      </c>
      <c r="M22" s="467">
        <f t="shared" si="5"/>
        <v>0</v>
      </c>
      <c r="N22" s="468" t="e">
        <f t="shared" si="6"/>
        <v>#DIV/0!</v>
      </c>
      <c r="O22" s="469">
        <f t="shared" si="1"/>
        <v>0</v>
      </c>
    </row>
    <row r="23" spans="1:15" ht="14.25" customHeight="1">
      <c r="A23" s="455"/>
      <c r="B23" s="456"/>
      <c r="C23" s="457"/>
      <c r="D23" s="458"/>
      <c r="E23" s="459"/>
      <c r="F23" s="460">
        <f t="shared" si="7"/>
        <v>0</v>
      </c>
      <c r="G23" s="470"/>
      <c r="H23" s="462" t="e">
        <f t="shared" si="2"/>
        <v>#DIV/0!</v>
      </c>
      <c r="I23" s="463">
        <f t="shared" si="3"/>
        <v>0</v>
      </c>
      <c r="J23" s="464"/>
      <c r="K23" s="465" t="e">
        <f t="shared" si="0"/>
        <v>#DIV/0!</v>
      </c>
      <c r="L23" s="466">
        <f t="shared" si="4"/>
        <v>0</v>
      </c>
      <c r="M23" s="467">
        <f t="shared" si="5"/>
        <v>0</v>
      </c>
      <c r="N23" s="468" t="e">
        <f t="shared" si="6"/>
        <v>#DIV/0!</v>
      </c>
      <c r="O23" s="469">
        <f t="shared" si="1"/>
        <v>0</v>
      </c>
    </row>
    <row r="24" spans="1:15" ht="14.25" customHeight="1">
      <c r="A24" s="455"/>
      <c r="B24" s="456"/>
      <c r="C24" s="457"/>
      <c r="D24" s="458"/>
      <c r="E24" s="459"/>
      <c r="F24" s="460">
        <f t="shared" si="7"/>
        <v>0</v>
      </c>
      <c r="G24" s="470"/>
      <c r="H24" s="462" t="e">
        <f t="shared" si="2"/>
        <v>#DIV/0!</v>
      </c>
      <c r="I24" s="463">
        <f t="shared" si="3"/>
        <v>0</v>
      </c>
      <c r="J24" s="464"/>
      <c r="K24" s="465" t="e">
        <f t="shared" si="0"/>
        <v>#DIV/0!</v>
      </c>
      <c r="L24" s="466">
        <f t="shared" si="4"/>
        <v>0</v>
      </c>
      <c r="M24" s="467">
        <f t="shared" si="5"/>
        <v>0</v>
      </c>
      <c r="N24" s="468" t="e">
        <f t="shared" si="6"/>
        <v>#DIV/0!</v>
      </c>
      <c r="O24" s="469">
        <f t="shared" si="1"/>
        <v>0</v>
      </c>
    </row>
    <row r="25" spans="1:15" ht="14.25" customHeight="1">
      <c r="A25" s="455"/>
      <c r="B25" s="456"/>
      <c r="C25" s="457"/>
      <c r="D25" s="458"/>
      <c r="E25" s="459"/>
      <c r="F25" s="460">
        <f t="shared" si="7"/>
        <v>0</v>
      </c>
      <c r="G25" s="470"/>
      <c r="H25" s="462" t="e">
        <f t="shared" si="2"/>
        <v>#DIV/0!</v>
      </c>
      <c r="I25" s="463">
        <f t="shared" si="3"/>
        <v>0</v>
      </c>
      <c r="J25" s="464"/>
      <c r="K25" s="465" t="e">
        <f t="shared" si="0"/>
        <v>#DIV/0!</v>
      </c>
      <c r="L25" s="466">
        <f t="shared" si="4"/>
        <v>0</v>
      </c>
      <c r="M25" s="467">
        <f t="shared" si="5"/>
        <v>0</v>
      </c>
      <c r="N25" s="468" t="e">
        <f t="shared" si="6"/>
        <v>#DIV/0!</v>
      </c>
      <c r="O25" s="469">
        <f t="shared" si="1"/>
        <v>0</v>
      </c>
    </row>
    <row r="26" spans="1:15" ht="14.25" customHeight="1">
      <c r="A26" s="455"/>
      <c r="B26" s="456"/>
      <c r="C26" s="457"/>
      <c r="D26" s="458"/>
      <c r="E26" s="459"/>
      <c r="F26" s="460">
        <f t="shared" si="7"/>
        <v>0</v>
      </c>
      <c r="G26" s="471"/>
      <c r="H26" s="462" t="e">
        <f t="shared" si="2"/>
        <v>#DIV/0!</v>
      </c>
      <c r="I26" s="463">
        <f t="shared" si="3"/>
        <v>0</v>
      </c>
      <c r="J26" s="472"/>
      <c r="K26" s="465" t="e">
        <f t="shared" si="0"/>
        <v>#DIV/0!</v>
      </c>
      <c r="L26" s="466">
        <f t="shared" si="4"/>
        <v>0</v>
      </c>
      <c r="M26" s="467">
        <f t="shared" si="5"/>
        <v>0</v>
      </c>
      <c r="N26" s="468" t="e">
        <f t="shared" si="6"/>
        <v>#DIV/0!</v>
      </c>
      <c r="O26" s="469">
        <f t="shared" si="1"/>
        <v>0</v>
      </c>
    </row>
    <row r="27" spans="1:15" ht="14.25" customHeight="1">
      <c r="A27" s="455"/>
      <c r="B27" s="456"/>
      <c r="C27" s="457"/>
      <c r="D27" s="458"/>
      <c r="E27" s="459"/>
      <c r="F27" s="460">
        <f t="shared" si="7"/>
        <v>0</v>
      </c>
      <c r="G27" s="470"/>
      <c r="H27" s="462" t="e">
        <f t="shared" si="2"/>
        <v>#DIV/0!</v>
      </c>
      <c r="I27" s="463">
        <f t="shared" si="3"/>
        <v>0</v>
      </c>
      <c r="J27" s="464"/>
      <c r="K27" s="465" t="e">
        <f t="shared" si="0"/>
        <v>#DIV/0!</v>
      </c>
      <c r="L27" s="466">
        <f t="shared" si="4"/>
        <v>0</v>
      </c>
      <c r="M27" s="467">
        <f t="shared" si="5"/>
        <v>0</v>
      </c>
      <c r="N27" s="468" t="e">
        <f t="shared" si="6"/>
        <v>#DIV/0!</v>
      </c>
      <c r="O27" s="469">
        <f t="shared" si="1"/>
        <v>0</v>
      </c>
    </row>
    <row r="28" spans="1:15" ht="14.25" customHeight="1">
      <c r="A28" s="455"/>
      <c r="B28" s="456"/>
      <c r="C28" s="457"/>
      <c r="D28" s="458"/>
      <c r="E28" s="459"/>
      <c r="F28" s="460">
        <f t="shared" si="7"/>
        <v>0</v>
      </c>
      <c r="G28" s="470"/>
      <c r="H28" s="462" t="e">
        <f t="shared" si="2"/>
        <v>#DIV/0!</v>
      </c>
      <c r="I28" s="463">
        <f t="shared" si="3"/>
        <v>0</v>
      </c>
      <c r="J28" s="464"/>
      <c r="K28" s="465" t="e">
        <f>J28/D28</f>
        <v>#DIV/0!</v>
      </c>
      <c r="L28" s="466">
        <f t="shared" si="4"/>
        <v>0</v>
      </c>
      <c r="M28" s="467">
        <f t="shared" si="5"/>
        <v>0</v>
      </c>
      <c r="N28" s="468" t="e">
        <f t="shared" si="6"/>
        <v>#DIV/0!</v>
      </c>
      <c r="O28" s="469">
        <f t="shared" si="1"/>
        <v>0</v>
      </c>
    </row>
    <row r="29" spans="1:15" ht="14.25" customHeight="1">
      <c r="A29" s="455"/>
      <c r="B29" s="456"/>
      <c r="C29" s="457"/>
      <c r="D29" s="458"/>
      <c r="E29" s="459"/>
      <c r="F29" s="460">
        <f t="shared" si="7"/>
        <v>0</v>
      </c>
      <c r="G29" s="470"/>
      <c r="H29" s="462" t="e">
        <f t="shared" si="2"/>
        <v>#DIV/0!</v>
      </c>
      <c r="I29" s="463">
        <f t="shared" si="3"/>
        <v>0</v>
      </c>
      <c r="J29" s="464"/>
      <c r="K29" s="465" t="e">
        <f>J29/D29</f>
        <v>#DIV/0!</v>
      </c>
      <c r="L29" s="466">
        <f t="shared" si="4"/>
        <v>0</v>
      </c>
      <c r="M29" s="467">
        <f t="shared" si="5"/>
        <v>0</v>
      </c>
      <c r="N29" s="468" t="e">
        <f t="shared" si="6"/>
        <v>#DIV/0!</v>
      </c>
      <c r="O29" s="469">
        <f t="shared" si="1"/>
        <v>0</v>
      </c>
    </row>
    <row r="30" spans="1:15" ht="14.25" customHeight="1">
      <c r="A30" s="455"/>
      <c r="B30" s="456"/>
      <c r="C30" s="457"/>
      <c r="D30" s="458"/>
      <c r="E30" s="459"/>
      <c r="F30" s="460">
        <f t="shared" si="7"/>
        <v>0</v>
      </c>
      <c r="G30" s="470"/>
      <c r="H30" s="462" t="e">
        <f t="shared" si="2"/>
        <v>#DIV/0!</v>
      </c>
      <c r="I30" s="463">
        <f t="shared" si="3"/>
        <v>0</v>
      </c>
      <c r="J30" s="464"/>
      <c r="K30" s="465" t="e">
        <f>J30/D30</f>
        <v>#DIV/0!</v>
      </c>
      <c r="L30" s="466">
        <f t="shared" si="4"/>
        <v>0</v>
      </c>
      <c r="M30" s="467">
        <f t="shared" si="5"/>
        <v>0</v>
      </c>
      <c r="N30" s="468" t="e">
        <f t="shared" si="6"/>
        <v>#DIV/0!</v>
      </c>
      <c r="O30" s="469">
        <f t="shared" si="1"/>
        <v>0</v>
      </c>
    </row>
    <row r="31" spans="1:15" ht="14.25" customHeight="1">
      <c r="A31" s="455"/>
      <c r="B31" s="456"/>
      <c r="C31" s="457"/>
      <c r="D31" s="458"/>
      <c r="E31" s="459"/>
      <c r="F31" s="460">
        <f t="shared" si="7"/>
        <v>0</v>
      </c>
      <c r="G31" s="470"/>
      <c r="H31" s="462" t="e">
        <f t="shared" si="2"/>
        <v>#DIV/0!</v>
      </c>
      <c r="I31" s="463">
        <f t="shared" si="3"/>
        <v>0</v>
      </c>
      <c r="J31" s="464"/>
      <c r="K31" s="465" t="e">
        <f>J31/D31</f>
        <v>#DIV/0!</v>
      </c>
      <c r="L31" s="466">
        <f t="shared" si="4"/>
        <v>0</v>
      </c>
      <c r="M31" s="467">
        <f t="shared" si="5"/>
        <v>0</v>
      </c>
      <c r="N31" s="468" t="e">
        <f t="shared" si="6"/>
        <v>#DIV/0!</v>
      </c>
      <c r="O31" s="469">
        <f t="shared" si="1"/>
        <v>0</v>
      </c>
    </row>
    <row r="32" spans="1:15" ht="14.25" customHeight="1">
      <c r="A32" s="455"/>
      <c r="B32" s="456"/>
      <c r="C32" s="457"/>
      <c r="D32" s="458"/>
      <c r="E32" s="459"/>
      <c r="F32" s="460">
        <f t="shared" si="7"/>
        <v>0</v>
      </c>
      <c r="G32" s="471"/>
      <c r="H32" s="462" t="e">
        <f t="shared" si="2"/>
        <v>#DIV/0!</v>
      </c>
      <c r="I32" s="463">
        <f t="shared" si="3"/>
        <v>0</v>
      </c>
      <c r="J32" s="472"/>
      <c r="K32" s="465" t="e">
        <f aca="true" t="shared" si="8" ref="K32:K37">J32/D32</f>
        <v>#DIV/0!</v>
      </c>
      <c r="L32" s="466">
        <f t="shared" si="4"/>
        <v>0</v>
      </c>
      <c r="M32" s="467">
        <f t="shared" si="5"/>
        <v>0</v>
      </c>
      <c r="N32" s="468" t="e">
        <f t="shared" si="6"/>
        <v>#DIV/0!</v>
      </c>
      <c r="O32" s="469">
        <f t="shared" si="1"/>
        <v>0</v>
      </c>
    </row>
    <row r="33" spans="1:15" ht="14.25" customHeight="1">
      <c r="A33" s="455"/>
      <c r="B33" s="456"/>
      <c r="C33" s="457"/>
      <c r="D33" s="458"/>
      <c r="E33" s="459"/>
      <c r="F33" s="460">
        <f t="shared" si="7"/>
        <v>0</v>
      </c>
      <c r="G33" s="470"/>
      <c r="H33" s="462" t="e">
        <f t="shared" si="2"/>
        <v>#DIV/0!</v>
      </c>
      <c r="I33" s="463">
        <f t="shared" si="3"/>
        <v>0</v>
      </c>
      <c r="J33" s="464"/>
      <c r="K33" s="465" t="e">
        <f t="shared" si="8"/>
        <v>#DIV/0!</v>
      </c>
      <c r="L33" s="466">
        <f t="shared" si="4"/>
        <v>0</v>
      </c>
      <c r="M33" s="467">
        <f t="shared" si="5"/>
        <v>0</v>
      </c>
      <c r="N33" s="468" t="e">
        <f t="shared" si="6"/>
        <v>#DIV/0!</v>
      </c>
      <c r="O33" s="469">
        <f t="shared" si="1"/>
        <v>0</v>
      </c>
    </row>
    <row r="34" spans="1:15" ht="14.25" customHeight="1">
      <c r="A34" s="455"/>
      <c r="B34" s="456"/>
      <c r="C34" s="457"/>
      <c r="D34" s="458"/>
      <c r="E34" s="459"/>
      <c r="F34" s="460">
        <f t="shared" si="7"/>
        <v>0</v>
      </c>
      <c r="G34" s="470"/>
      <c r="H34" s="462" t="e">
        <f t="shared" si="2"/>
        <v>#DIV/0!</v>
      </c>
      <c r="I34" s="463">
        <f t="shared" si="3"/>
        <v>0</v>
      </c>
      <c r="J34" s="464"/>
      <c r="K34" s="465" t="e">
        <f t="shared" si="8"/>
        <v>#DIV/0!</v>
      </c>
      <c r="L34" s="466">
        <f t="shared" si="4"/>
        <v>0</v>
      </c>
      <c r="M34" s="467">
        <f t="shared" si="5"/>
        <v>0</v>
      </c>
      <c r="N34" s="468" t="e">
        <f t="shared" si="6"/>
        <v>#DIV/0!</v>
      </c>
      <c r="O34" s="469">
        <f t="shared" si="1"/>
        <v>0</v>
      </c>
    </row>
    <row r="35" spans="1:15" ht="14.25" customHeight="1">
      <c r="A35" s="455"/>
      <c r="B35" s="456"/>
      <c r="C35" s="457"/>
      <c r="D35" s="458"/>
      <c r="E35" s="459"/>
      <c r="F35" s="460">
        <f t="shared" si="7"/>
        <v>0</v>
      </c>
      <c r="G35" s="470"/>
      <c r="H35" s="462" t="e">
        <f t="shared" si="2"/>
        <v>#DIV/0!</v>
      </c>
      <c r="I35" s="463">
        <f t="shared" si="3"/>
        <v>0</v>
      </c>
      <c r="J35" s="464"/>
      <c r="K35" s="465" t="e">
        <f t="shared" si="8"/>
        <v>#DIV/0!</v>
      </c>
      <c r="L35" s="466">
        <f t="shared" si="4"/>
        <v>0</v>
      </c>
      <c r="M35" s="467">
        <f t="shared" si="5"/>
        <v>0</v>
      </c>
      <c r="N35" s="468" t="e">
        <f t="shared" si="6"/>
        <v>#DIV/0!</v>
      </c>
      <c r="O35" s="469">
        <f t="shared" si="1"/>
        <v>0</v>
      </c>
    </row>
    <row r="36" spans="1:15" ht="12.75">
      <c r="A36" s="455"/>
      <c r="B36" s="456"/>
      <c r="C36" s="457"/>
      <c r="D36" s="458"/>
      <c r="E36" s="459"/>
      <c r="F36" s="460">
        <f t="shared" si="7"/>
        <v>0</v>
      </c>
      <c r="G36" s="470"/>
      <c r="H36" s="462" t="e">
        <f t="shared" si="2"/>
        <v>#DIV/0!</v>
      </c>
      <c r="I36" s="463">
        <f t="shared" si="3"/>
        <v>0</v>
      </c>
      <c r="J36" s="464"/>
      <c r="K36" s="465" t="e">
        <f t="shared" si="8"/>
        <v>#DIV/0!</v>
      </c>
      <c r="L36" s="466">
        <f t="shared" si="4"/>
        <v>0</v>
      </c>
      <c r="M36" s="467">
        <f t="shared" si="5"/>
        <v>0</v>
      </c>
      <c r="N36" s="468" t="e">
        <f t="shared" si="6"/>
        <v>#DIV/0!</v>
      </c>
      <c r="O36" s="469">
        <f t="shared" si="1"/>
        <v>0</v>
      </c>
    </row>
    <row r="37" spans="1:15" ht="12.75">
      <c r="A37" s="473"/>
      <c r="B37" s="474"/>
      <c r="C37" s="475"/>
      <c r="D37" s="458"/>
      <c r="E37" s="459"/>
      <c r="F37" s="460">
        <f t="shared" si="7"/>
        <v>0</v>
      </c>
      <c r="G37" s="470"/>
      <c r="H37" s="462" t="e">
        <f t="shared" si="2"/>
        <v>#DIV/0!</v>
      </c>
      <c r="I37" s="463">
        <f t="shared" si="3"/>
        <v>0</v>
      </c>
      <c r="J37" s="464"/>
      <c r="K37" s="465" t="e">
        <f t="shared" si="8"/>
        <v>#DIV/0!</v>
      </c>
      <c r="L37" s="466">
        <f t="shared" si="4"/>
        <v>0</v>
      </c>
      <c r="M37" s="467">
        <f t="shared" si="5"/>
        <v>0</v>
      </c>
      <c r="N37" s="468" t="e">
        <f t="shared" si="6"/>
        <v>#DIV/0!</v>
      </c>
      <c r="O37" s="469">
        <f t="shared" si="1"/>
        <v>0</v>
      </c>
    </row>
    <row r="38" spans="1:15" ht="12.75">
      <c r="A38" s="455"/>
      <c r="B38" s="456"/>
      <c r="C38" s="476"/>
      <c r="D38" s="458"/>
      <c r="E38" s="459"/>
      <c r="F38" s="460">
        <f>ROUND($D38*$E38,2)</f>
        <v>0</v>
      </c>
      <c r="G38" s="470"/>
      <c r="H38" s="462" t="e">
        <f>G38/D38</f>
        <v>#DIV/0!</v>
      </c>
      <c r="I38" s="463">
        <f t="shared" si="3"/>
        <v>0</v>
      </c>
      <c r="J38" s="464"/>
      <c r="K38" s="465" t="e">
        <f>J38/D38</f>
        <v>#DIV/0!</v>
      </c>
      <c r="L38" s="466">
        <f>J38*$E38</f>
        <v>0</v>
      </c>
      <c r="M38" s="467">
        <f>J38+G38</f>
        <v>0</v>
      </c>
      <c r="N38" s="468" t="e">
        <f>H38+K38</f>
        <v>#DIV/0!</v>
      </c>
      <c r="O38" s="469">
        <f t="shared" si="1"/>
        <v>0</v>
      </c>
    </row>
    <row r="39" spans="1:15" ht="12.75">
      <c r="A39" s="455"/>
      <c r="B39" s="456"/>
      <c r="C39" s="476"/>
      <c r="D39" s="458"/>
      <c r="E39" s="459"/>
      <c r="F39" s="460">
        <f>ROUND($D39*$E39,2)</f>
        <v>0</v>
      </c>
      <c r="G39" s="470"/>
      <c r="H39" s="462" t="e">
        <f>G39/D39</f>
        <v>#DIV/0!</v>
      </c>
      <c r="I39" s="463">
        <f t="shared" si="3"/>
        <v>0</v>
      </c>
      <c r="J39" s="464"/>
      <c r="K39" s="465" t="e">
        <f>J39/D39</f>
        <v>#DIV/0!</v>
      </c>
      <c r="L39" s="466">
        <f>J39*$E39</f>
        <v>0</v>
      </c>
      <c r="M39" s="467">
        <f>J39+G39</f>
        <v>0</v>
      </c>
      <c r="N39" s="468" t="e">
        <f>H39+K39</f>
        <v>#DIV/0!</v>
      </c>
      <c r="O39" s="469">
        <f t="shared" si="1"/>
        <v>0</v>
      </c>
    </row>
    <row r="40" spans="1:15" ht="12.75">
      <c r="A40" s="455"/>
      <c r="B40" s="456"/>
      <c r="C40" s="476"/>
      <c r="D40" s="458"/>
      <c r="E40" s="459"/>
      <c r="F40" s="460">
        <f>ROUND($D40*$E40,2)</f>
        <v>0</v>
      </c>
      <c r="G40" s="470"/>
      <c r="H40" s="462" t="e">
        <f>G40/D40</f>
        <v>#DIV/0!</v>
      </c>
      <c r="I40" s="463">
        <f t="shared" si="3"/>
        <v>0</v>
      </c>
      <c r="J40" s="464"/>
      <c r="K40" s="465" t="e">
        <f>J40/D40</f>
        <v>#DIV/0!</v>
      </c>
      <c r="L40" s="466">
        <f>J40*$E40</f>
        <v>0</v>
      </c>
      <c r="M40" s="467">
        <f>J40+G40</f>
        <v>0</v>
      </c>
      <c r="N40" s="468" t="e">
        <f>H40+K40</f>
        <v>#DIV/0!</v>
      </c>
      <c r="O40" s="469">
        <f t="shared" si="1"/>
        <v>0</v>
      </c>
    </row>
    <row r="41" spans="1:15" ht="12.75">
      <c r="A41" s="455"/>
      <c r="B41" s="456"/>
      <c r="C41" s="476"/>
      <c r="D41" s="458"/>
      <c r="E41" s="459"/>
      <c r="F41" s="460">
        <f>ROUND($D41*$E41,2)</f>
        <v>0</v>
      </c>
      <c r="G41" s="470"/>
      <c r="H41" s="462" t="e">
        <f>G41/D41</f>
        <v>#DIV/0!</v>
      </c>
      <c r="I41" s="463">
        <f t="shared" si="3"/>
        <v>0</v>
      </c>
      <c r="J41" s="464"/>
      <c r="K41" s="465" t="e">
        <f>J41/D41</f>
        <v>#DIV/0!</v>
      </c>
      <c r="L41" s="466">
        <f>J41*$E41</f>
        <v>0</v>
      </c>
      <c r="M41" s="467">
        <f>J41+G41</f>
        <v>0</v>
      </c>
      <c r="N41" s="468" t="e">
        <f>H41+K41</f>
        <v>#DIV/0!</v>
      </c>
      <c r="O41" s="469">
        <f t="shared" si="1"/>
        <v>0</v>
      </c>
    </row>
    <row r="42" spans="1:15" ht="12.75">
      <c r="A42" s="455"/>
      <c r="B42" s="456"/>
      <c r="C42" s="477"/>
      <c r="D42" s="458"/>
      <c r="E42" s="459"/>
      <c r="F42" s="460">
        <f>ROUND($D42*$E42,2)</f>
        <v>0</v>
      </c>
      <c r="G42" s="470"/>
      <c r="H42" s="462" t="e">
        <f>G42/D42</f>
        <v>#DIV/0!</v>
      </c>
      <c r="I42" s="463">
        <f t="shared" si="3"/>
        <v>0</v>
      </c>
      <c r="J42" s="464"/>
      <c r="K42" s="465" t="e">
        <f>J42/D42</f>
        <v>#DIV/0!</v>
      </c>
      <c r="L42" s="466">
        <f>J42*$E42</f>
        <v>0</v>
      </c>
      <c r="M42" s="467">
        <f>J42+G42</f>
        <v>0</v>
      </c>
      <c r="N42" s="468" t="e">
        <f>H42+K42</f>
        <v>#DIV/0!</v>
      </c>
      <c r="O42" s="469">
        <f t="shared" si="1"/>
        <v>0</v>
      </c>
    </row>
    <row r="43" spans="1:15" ht="12.75">
      <c r="A43" s="1028"/>
      <c r="B43" s="1029"/>
      <c r="C43" s="1029"/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30"/>
    </row>
    <row r="44" spans="1:15" ht="15.75">
      <c r="A44" s="1028" t="s">
        <v>528</v>
      </c>
      <c r="B44" s="1031"/>
      <c r="C44" s="1032"/>
      <c r="D44" s="1033"/>
      <c r="E44" s="1034"/>
      <c r="F44" s="478">
        <f>SUM(F14:F42)</f>
        <v>0</v>
      </c>
      <c r="G44" s="1035"/>
      <c r="H44" s="1036"/>
      <c r="I44" s="478">
        <f>SUM(I14:I42)</f>
        <v>0</v>
      </c>
      <c r="J44" s="1037"/>
      <c r="K44" s="1038"/>
      <c r="L44" s="478">
        <f>SUM(L14:L42)</f>
        <v>0</v>
      </c>
      <c r="M44" s="1037"/>
      <c r="N44" s="1039"/>
      <c r="O44" s="479">
        <f>SUM(O14:O42)</f>
        <v>0</v>
      </c>
    </row>
    <row r="45" spans="1:15" ht="12.75" customHeight="1" thickBot="1">
      <c r="A45" s="1011" t="s">
        <v>529</v>
      </c>
      <c r="B45" s="1012"/>
      <c r="C45" s="1013"/>
      <c r="D45" s="1012" t="s">
        <v>530</v>
      </c>
      <c r="E45" s="1012"/>
      <c r="F45" s="1012"/>
      <c r="G45" s="1012"/>
      <c r="H45" s="1012"/>
      <c r="I45" s="1012"/>
      <c r="J45" s="1012"/>
      <c r="K45" s="1008" t="s">
        <v>531</v>
      </c>
      <c r="L45" s="1009"/>
      <c r="M45" s="1009"/>
      <c r="N45" s="1009"/>
      <c r="O45" s="1010"/>
    </row>
    <row r="46" spans="1:15" ht="12.75">
      <c r="A46" s="1014"/>
      <c r="B46" s="1015"/>
      <c r="C46" s="1016"/>
      <c r="D46" s="1020"/>
      <c r="E46" s="1020"/>
      <c r="F46" s="1020"/>
      <c r="G46" s="1020"/>
      <c r="H46" s="1020"/>
      <c r="I46" s="1020"/>
      <c r="J46" s="1020"/>
      <c r="K46" s="1022" t="s">
        <v>532</v>
      </c>
      <c r="L46" s="1015"/>
      <c r="M46" s="1015"/>
      <c r="N46" s="1015"/>
      <c r="O46" s="1023"/>
    </row>
    <row r="47" spans="1:15" ht="12.75">
      <c r="A47" s="1014"/>
      <c r="B47" s="1015"/>
      <c r="C47" s="1016"/>
      <c r="D47" s="1021"/>
      <c r="E47" s="1021"/>
      <c r="F47" s="1021"/>
      <c r="G47" s="1021"/>
      <c r="H47" s="1021"/>
      <c r="I47" s="1021"/>
      <c r="J47" s="1021"/>
      <c r="K47" s="1022"/>
      <c r="L47" s="1015"/>
      <c r="M47" s="1015"/>
      <c r="N47" s="1015"/>
      <c r="O47" s="1023"/>
    </row>
    <row r="48" spans="1:15" ht="12.75">
      <c r="A48" s="1017"/>
      <c r="B48" s="1018"/>
      <c r="C48" s="1019"/>
      <c r="D48" s="1021"/>
      <c r="E48" s="1021"/>
      <c r="F48" s="1021"/>
      <c r="G48" s="1021"/>
      <c r="H48" s="1021"/>
      <c r="I48" s="1021"/>
      <c r="J48" s="1021"/>
      <c r="K48" s="1024"/>
      <c r="L48" s="1018"/>
      <c r="M48" s="1018"/>
      <c r="N48" s="1018"/>
      <c r="O48" s="1025"/>
    </row>
    <row r="49" spans="1:15" ht="12.75" customHeight="1" thickBot="1">
      <c r="A49" s="1002" t="s">
        <v>533</v>
      </c>
      <c r="B49" s="1003"/>
      <c r="C49" s="1004"/>
      <c r="D49" s="1005" t="s">
        <v>534</v>
      </c>
      <c r="E49" s="1006"/>
      <c r="F49" s="1006"/>
      <c r="G49" s="1006"/>
      <c r="H49" s="1006"/>
      <c r="I49" s="1006"/>
      <c r="J49" s="1007"/>
      <c r="K49" s="1008" t="s">
        <v>535</v>
      </c>
      <c r="L49" s="1009"/>
      <c r="M49" s="1009"/>
      <c r="N49" s="1009"/>
      <c r="O49" s="1010"/>
    </row>
    <row r="51" ht="12.75">
      <c r="F51" s="170"/>
    </row>
  </sheetData>
  <sheetProtection/>
  <mergeCells count="58"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  <mergeCell ref="F3:L3"/>
    <mergeCell ref="A4:F4"/>
    <mergeCell ref="G4:H5"/>
    <mergeCell ref="I4:I5"/>
    <mergeCell ref="J4:J5"/>
    <mergeCell ref="K4:K5"/>
    <mergeCell ref="L4:L5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N7:O7"/>
    <mergeCell ref="A8:F9"/>
    <mergeCell ref="G8:I8"/>
    <mergeCell ref="J8:L8"/>
    <mergeCell ref="N8:O8"/>
    <mergeCell ref="G9:I9"/>
    <mergeCell ref="J9:L9"/>
    <mergeCell ref="N9:O9"/>
    <mergeCell ref="A10:A12"/>
    <mergeCell ref="B10:B12"/>
    <mergeCell ref="C10:F11"/>
    <mergeCell ref="G10:O10"/>
    <mergeCell ref="G11:I11"/>
    <mergeCell ref="J11:L11"/>
    <mergeCell ref="M11:O11"/>
    <mergeCell ref="C13:O13"/>
    <mergeCell ref="A43:O43"/>
    <mergeCell ref="A44:B44"/>
    <mergeCell ref="C44:E44"/>
    <mergeCell ref="G44:H44"/>
    <mergeCell ref="J44:K44"/>
    <mergeCell ref="M44:N44"/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503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20"/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2"/>
    </row>
    <row r="2" spans="1:17" ht="24.75" customHeight="1">
      <c r="A2" s="1123" t="s">
        <v>536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5"/>
    </row>
    <row r="3" spans="1:17" s="169" customFormat="1" ht="17.25" customHeight="1">
      <c r="A3" s="1114" t="s">
        <v>467</v>
      </c>
      <c r="B3" s="1115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7"/>
    </row>
    <row r="4" spans="1:17" s="169" customFormat="1" ht="14.25" customHeight="1">
      <c r="A4" s="1114" t="s">
        <v>17</v>
      </c>
      <c r="B4" s="1115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7"/>
    </row>
    <row r="5" spans="1:17" s="169" customFormat="1" ht="14.25" customHeight="1">
      <c r="A5" s="1114" t="s">
        <v>200</v>
      </c>
      <c r="B5" s="1115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7"/>
    </row>
    <row r="6" spans="1:17" s="169" customFormat="1" ht="12.75" customHeight="1" thickBot="1">
      <c r="A6" s="1118" t="s">
        <v>470</v>
      </c>
      <c r="B6" s="1119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7"/>
    </row>
    <row r="7" spans="1:17" ht="51" customHeight="1" thickBot="1">
      <c r="A7" s="480" t="s">
        <v>0</v>
      </c>
      <c r="B7" s="481" t="s">
        <v>1</v>
      </c>
      <c r="C7" s="482" t="s">
        <v>537</v>
      </c>
      <c r="D7" s="481" t="s">
        <v>538</v>
      </c>
      <c r="E7" s="481" t="s">
        <v>539</v>
      </c>
      <c r="F7" s="481" t="s">
        <v>540</v>
      </c>
      <c r="G7" s="481" t="s">
        <v>541</v>
      </c>
      <c r="H7" s="483" t="s">
        <v>537</v>
      </c>
      <c r="I7" s="481" t="s">
        <v>542</v>
      </c>
      <c r="J7" s="484" t="s">
        <v>543</v>
      </c>
      <c r="K7" s="485" t="s">
        <v>540</v>
      </c>
      <c r="L7" s="486" t="s">
        <v>541</v>
      </c>
      <c r="M7" s="487" t="s">
        <v>537</v>
      </c>
      <c r="N7" s="481" t="s">
        <v>544</v>
      </c>
      <c r="O7" s="481" t="s">
        <v>545</v>
      </c>
      <c r="P7" s="481" t="s">
        <v>540</v>
      </c>
      <c r="Q7" s="488" t="s">
        <v>541</v>
      </c>
    </row>
    <row r="8" spans="1:17" s="116" customFormat="1" ht="15">
      <c r="A8" s="489">
        <v>1</v>
      </c>
      <c r="B8" s="490"/>
      <c r="C8" s="491"/>
      <c r="D8" s="490"/>
      <c r="E8" s="492"/>
      <c r="F8" s="493"/>
      <c r="G8" s="494"/>
      <c r="H8" s="491"/>
      <c r="I8" s="490"/>
      <c r="J8" s="492"/>
      <c r="K8" s="493"/>
      <c r="L8" s="494"/>
      <c r="M8" s="491"/>
      <c r="N8" s="490"/>
      <c r="O8" s="492"/>
      <c r="P8" s="493"/>
      <c r="Q8" s="495"/>
    </row>
    <row r="9" spans="1:17" s="116" customFormat="1" ht="15">
      <c r="A9" s="489">
        <v>2</v>
      </c>
      <c r="B9" s="490"/>
      <c r="C9" s="491"/>
      <c r="D9" s="490"/>
      <c r="E9" s="492"/>
      <c r="F9" s="493"/>
      <c r="G9" s="494"/>
      <c r="H9" s="491"/>
      <c r="I9" s="490"/>
      <c r="J9" s="492"/>
      <c r="K9" s="493"/>
      <c r="L9" s="494"/>
      <c r="M9" s="491"/>
      <c r="N9" s="490"/>
      <c r="O9" s="492"/>
      <c r="P9" s="493"/>
      <c r="Q9" s="495"/>
    </row>
    <row r="10" spans="1:17" s="116" customFormat="1" ht="15">
      <c r="A10" s="489">
        <v>3</v>
      </c>
      <c r="B10" s="490"/>
      <c r="C10" s="491"/>
      <c r="D10" s="490"/>
      <c r="E10" s="492"/>
      <c r="F10" s="493"/>
      <c r="G10" s="494"/>
      <c r="H10" s="491"/>
      <c r="I10" s="490"/>
      <c r="J10" s="492"/>
      <c r="K10" s="493"/>
      <c r="L10" s="494"/>
      <c r="M10" s="491"/>
      <c r="N10" s="490"/>
      <c r="O10" s="492"/>
      <c r="P10" s="493"/>
      <c r="Q10" s="495"/>
    </row>
    <row r="11" spans="1:17" s="116" customFormat="1" ht="15">
      <c r="A11" s="489">
        <v>4</v>
      </c>
      <c r="B11" s="490"/>
      <c r="C11" s="491"/>
      <c r="D11" s="490"/>
      <c r="E11" s="492"/>
      <c r="F11" s="493"/>
      <c r="G11" s="494"/>
      <c r="H11" s="491"/>
      <c r="I11" s="490"/>
      <c r="J11" s="492"/>
      <c r="K11" s="493"/>
      <c r="L11" s="494"/>
      <c r="M11" s="491"/>
      <c r="N11" s="490"/>
      <c r="O11" s="492"/>
      <c r="P11" s="493"/>
      <c r="Q11" s="495"/>
    </row>
    <row r="12" spans="1:17" s="116" customFormat="1" ht="15">
      <c r="A12" s="489">
        <v>5</v>
      </c>
      <c r="B12" s="490"/>
      <c r="C12" s="491"/>
      <c r="D12" s="490"/>
      <c r="E12" s="492"/>
      <c r="F12" s="493"/>
      <c r="G12" s="494"/>
      <c r="H12" s="491"/>
      <c r="I12" s="490"/>
      <c r="J12" s="492"/>
      <c r="K12" s="493"/>
      <c r="L12" s="494"/>
      <c r="M12" s="491"/>
      <c r="N12" s="490"/>
      <c r="O12" s="492"/>
      <c r="P12" s="493"/>
      <c r="Q12" s="495"/>
    </row>
    <row r="13" spans="1:17" s="116" customFormat="1" ht="15">
      <c r="A13" s="489">
        <v>6</v>
      </c>
      <c r="B13" s="490"/>
      <c r="C13" s="491"/>
      <c r="D13" s="490"/>
      <c r="E13" s="492"/>
      <c r="F13" s="493"/>
      <c r="G13" s="494"/>
      <c r="H13" s="491"/>
      <c r="I13" s="490"/>
      <c r="J13" s="492"/>
      <c r="K13" s="493"/>
      <c r="L13" s="494"/>
      <c r="M13" s="491"/>
      <c r="N13" s="490"/>
      <c r="O13" s="492"/>
      <c r="P13" s="493"/>
      <c r="Q13" s="495"/>
    </row>
    <row r="14" spans="1:17" s="116" customFormat="1" ht="15">
      <c r="A14" s="489">
        <v>7</v>
      </c>
      <c r="B14" s="490"/>
      <c r="C14" s="491"/>
      <c r="D14" s="490"/>
      <c r="E14" s="492"/>
      <c r="F14" s="493"/>
      <c r="G14" s="494"/>
      <c r="H14" s="491"/>
      <c r="I14" s="490"/>
      <c r="J14" s="492"/>
      <c r="K14" s="493"/>
      <c r="L14" s="494"/>
      <c r="M14" s="491"/>
      <c r="N14" s="490"/>
      <c r="O14" s="492"/>
      <c r="P14" s="493"/>
      <c r="Q14" s="495"/>
    </row>
    <row r="15" spans="1:17" s="116" customFormat="1" ht="15">
      <c r="A15" s="489">
        <v>8</v>
      </c>
      <c r="B15" s="490"/>
      <c r="C15" s="491"/>
      <c r="D15" s="490"/>
      <c r="E15" s="492"/>
      <c r="F15" s="493"/>
      <c r="G15" s="494"/>
      <c r="H15" s="491"/>
      <c r="I15" s="490"/>
      <c r="J15" s="492"/>
      <c r="K15" s="493"/>
      <c r="L15" s="494"/>
      <c r="M15" s="491"/>
      <c r="N15" s="490"/>
      <c r="O15" s="492"/>
      <c r="P15" s="493"/>
      <c r="Q15" s="495"/>
    </row>
    <row r="16" spans="1:17" s="116" customFormat="1" ht="15">
      <c r="A16" s="489">
        <v>9</v>
      </c>
      <c r="B16" s="490"/>
      <c r="C16" s="491"/>
      <c r="D16" s="490"/>
      <c r="E16" s="492"/>
      <c r="F16" s="493"/>
      <c r="G16" s="494"/>
      <c r="H16" s="491"/>
      <c r="I16" s="490"/>
      <c r="J16" s="492"/>
      <c r="K16" s="493"/>
      <c r="L16" s="494"/>
      <c r="M16" s="491"/>
      <c r="N16" s="490"/>
      <c r="O16" s="492"/>
      <c r="P16" s="493"/>
      <c r="Q16" s="495"/>
    </row>
    <row r="17" spans="1:17" s="116" customFormat="1" ht="15">
      <c r="A17" s="489">
        <v>10</v>
      </c>
      <c r="B17" s="490"/>
      <c r="C17" s="491"/>
      <c r="D17" s="490"/>
      <c r="E17" s="492"/>
      <c r="F17" s="493"/>
      <c r="G17" s="494"/>
      <c r="H17" s="491"/>
      <c r="I17" s="490"/>
      <c r="J17" s="492"/>
      <c r="K17" s="493"/>
      <c r="L17" s="494"/>
      <c r="M17" s="491"/>
      <c r="N17" s="490"/>
      <c r="O17" s="492"/>
      <c r="P17" s="493"/>
      <c r="Q17" s="495"/>
    </row>
    <row r="18" spans="1:17" s="116" customFormat="1" ht="15">
      <c r="A18" s="489">
        <v>11</v>
      </c>
      <c r="B18" s="490"/>
      <c r="C18" s="491"/>
      <c r="D18" s="490"/>
      <c r="E18" s="492"/>
      <c r="F18" s="493"/>
      <c r="G18" s="494"/>
      <c r="H18" s="491"/>
      <c r="I18" s="490"/>
      <c r="J18" s="492"/>
      <c r="K18" s="493"/>
      <c r="L18" s="494"/>
      <c r="M18" s="491"/>
      <c r="N18" s="490"/>
      <c r="O18" s="492"/>
      <c r="P18" s="493"/>
      <c r="Q18" s="495"/>
    </row>
    <row r="19" spans="1:17" s="116" customFormat="1" ht="15">
      <c r="A19" s="489">
        <v>12</v>
      </c>
      <c r="B19" s="490"/>
      <c r="C19" s="491"/>
      <c r="D19" s="490"/>
      <c r="E19" s="492"/>
      <c r="F19" s="493"/>
      <c r="G19" s="494"/>
      <c r="H19" s="491"/>
      <c r="I19" s="490"/>
      <c r="J19" s="492"/>
      <c r="K19" s="493"/>
      <c r="L19" s="494"/>
      <c r="M19" s="491"/>
      <c r="N19" s="490"/>
      <c r="O19" s="492"/>
      <c r="P19" s="493"/>
      <c r="Q19" s="495"/>
    </row>
    <row r="20" spans="1:17" s="116" customFormat="1" ht="15">
      <c r="A20" s="489">
        <v>13</v>
      </c>
      <c r="B20" s="490"/>
      <c r="C20" s="491"/>
      <c r="D20" s="490"/>
      <c r="E20" s="492"/>
      <c r="F20" s="493"/>
      <c r="G20" s="494"/>
      <c r="H20" s="491"/>
      <c r="I20" s="490"/>
      <c r="J20" s="492"/>
      <c r="K20" s="493"/>
      <c r="L20" s="494"/>
      <c r="M20" s="491"/>
      <c r="N20" s="490"/>
      <c r="O20" s="492"/>
      <c r="P20" s="493"/>
      <c r="Q20" s="495"/>
    </row>
    <row r="21" spans="1:17" s="116" customFormat="1" ht="15">
      <c r="A21" s="489">
        <v>14</v>
      </c>
      <c r="B21" s="490"/>
      <c r="C21" s="491"/>
      <c r="D21" s="490"/>
      <c r="E21" s="492"/>
      <c r="F21" s="493"/>
      <c r="G21" s="494"/>
      <c r="H21" s="491"/>
      <c r="I21" s="490"/>
      <c r="J21" s="492"/>
      <c r="K21" s="493"/>
      <c r="L21" s="494"/>
      <c r="M21" s="491"/>
      <c r="N21" s="490"/>
      <c r="O21" s="492"/>
      <c r="P21" s="493"/>
      <c r="Q21" s="495"/>
    </row>
    <row r="22" spans="1:17" s="116" customFormat="1" ht="15.75" thickBot="1">
      <c r="A22" s="496">
        <v>15</v>
      </c>
      <c r="B22" s="497"/>
      <c r="C22" s="498"/>
      <c r="D22" s="497"/>
      <c r="E22" s="499"/>
      <c r="F22" s="500"/>
      <c r="G22" s="501"/>
      <c r="H22" s="498"/>
      <c r="I22" s="497"/>
      <c r="J22" s="499"/>
      <c r="K22" s="500"/>
      <c r="L22" s="501"/>
      <c r="M22" s="498"/>
      <c r="N22" s="497"/>
      <c r="O22" s="499"/>
      <c r="P22" s="500"/>
      <c r="Q22" s="502"/>
    </row>
    <row r="23" ht="14.25">
      <c r="A23" s="117" t="s">
        <v>546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2014-03-25T17:55:23Z</cp:lastPrinted>
  <dcterms:created xsi:type="dcterms:W3CDTF">2004-02-08T00:22:30Z</dcterms:created>
  <dcterms:modified xsi:type="dcterms:W3CDTF">2014-03-25T18:39:14Z</dcterms:modified>
  <cp:category/>
  <cp:version/>
  <cp:contentType/>
  <cp:contentStatus/>
</cp:coreProperties>
</file>