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" windowWidth="11340" windowHeight="6795" tabRatio="933" activeTab="5"/>
  </bookViews>
  <sheets>
    <sheet name="SINAPI" sheetId="1" r:id="rId1"/>
    <sheet name="dados de entrada" sheetId="2" r:id="rId2"/>
    <sheet name="Drenagem" sheetId="3" r:id="rId3"/>
    <sheet name="Escavação" sheetId="4" r:id="rId4"/>
    <sheet name="MEMORIAL" sheetId="5" r:id="rId5"/>
    <sheet name="ORÇAMENTO" sheetId="6" r:id="rId6"/>
    <sheet name="CRONOGRAMA" sheetId="7" r:id="rId7"/>
    <sheet name="MEDIÇÃO" sheetId="8" r:id="rId8"/>
    <sheet name="MAQ. E EQUIP." sheetId="9" r:id="rId9"/>
    <sheet name="PV Ø40 e Ø 60" sheetId="10" r:id="rId10"/>
    <sheet name="CL Ø40 e Ø 60" sheetId="11" r:id="rId11"/>
    <sheet name="PAVER" sheetId="12" r:id="rId12"/>
    <sheet name="TATIL" sheetId="13" r:id="rId13"/>
    <sheet name="BDI " sheetId="14" r:id="rId14"/>
  </sheets>
  <externalReferences>
    <externalReference r:id="rId17"/>
  </externalReferences>
  <definedNames>
    <definedName name="_xlfn.AVERAGEIF" hidden="1">#NAME?</definedName>
    <definedName name="_xlfn.SUMIFS" hidden="1">#NAME?</definedName>
    <definedName name="_xlnm.Print_Area" localSheetId="13">'BDI '!$A$1:$C$32</definedName>
    <definedName name="_xlnm.Print_Area" localSheetId="10">'CL Ø40 e Ø 60'!$A$1:$F$48</definedName>
    <definedName name="_xlnm.Print_Area" localSheetId="6">'CRONOGRAMA'!$A$1:$P$65</definedName>
    <definedName name="_xlnm.Print_Area" localSheetId="2">'Drenagem'!$A$1:$M$32</definedName>
    <definedName name="_xlnm.Print_Area" localSheetId="3">'Escavação'!$A$1:$W$44</definedName>
    <definedName name="_xlnm.Print_Area" localSheetId="7">'MEDIÇÃO'!$A$1:$O$49</definedName>
    <definedName name="_xlnm.Print_Area" localSheetId="4">'MEMORIAL'!$A$1:$F$67</definedName>
    <definedName name="_xlnm.Print_Area" localSheetId="5">'ORÇAMENTO'!$A$1:$I$63</definedName>
    <definedName name="_xlnm.Print_Area" localSheetId="11">'PAVER'!$A$1:$F$46</definedName>
    <definedName name="_xlnm.Print_Area" localSheetId="9">'PV Ø40 e Ø 60'!$A$1:$F$48</definedName>
    <definedName name="_xlnm.Print_Area" localSheetId="12">'TATIL'!$A$1:$F$48</definedName>
    <definedName name="Texto1" localSheetId="5">'ORÇAMENTO'!#REF!</definedName>
    <definedName name="Texto10" localSheetId="5">'ORÇAMENTO'!#REF!</definedName>
    <definedName name="Texto12" localSheetId="5">'ORÇAMENTO'!#REF!</definedName>
    <definedName name="Texto13" localSheetId="5">'ORÇAMENTO'!#REF!</definedName>
    <definedName name="Texto14" localSheetId="5">'ORÇAMENTO'!#REF!</definedName>
    <definedName name="Texto15" localSheetId="5">'ORÇAMENTO'!#REF!</definedName>
    <definedName name="Texto16" localSheetId="5">'ORÇAMENTO'!$A$60</definedName>
    <definedName name="Texto2" localSheetId="5">'ORÇAMENTO'!#REF!</definedName>
    <definedName name="Texto3" localSheetId="5">'ORÇAMENTO'!$I$3</definedName>
    <definedName name="Texto4" localSheetId="5">'ORÇAMENTO'!$A$5</definedName>
    <definedName name="Texto42" localSheetId="5">'ORÇAMENTO'!#REF!</definedName>
    <definedName name="Texto43" localSheetId="5">'ORÇAMENTO'!#REF!</definedName>
    <definedName name="Texto5" localSheetId="5">'ORÇAMENTO'!$G$5</definedName>
    <definedName name="Texto7" localSheetId="5">'ORÇAMENTO'!#REF!</definedName>
    <definedName name="Texto8" localSheetId="5">'ORÇAMENTO'!#REF!</definedName>
    <definedName name="Texto9" localSheetId="5">'ORÇAMENTO'!#REF!</definedName>
  </definedNames>
  <calcPr fullCalcOnLoad="1"/>
</workbook>
</file>

<file path=xl/sharedStrings.xml><?xml version="1.0" encoding="utf-8"?>
<sst xmlns="http://schemas.openxmlformats.org/spreadsheetml/2006/main" count="1183" uniqueCount="611">
  <si>
    <t>ITEM</t>
  </si>
  <si>
    <t>DISCRIMINAÇÃO</t>
  </si>
  <si>
    <t>UND</t>
  </si>
  <si>
    <t>m2</t>
  </si>
  <si>
    <t>und</t>
  </si>
  <si>
    <t>TOTAL</t>
  </si>
  <si>
    <t>R$</t>
  </si>
  <si>
    <t>%</t>
  </si>
  <si>
    <t>1.1</t>
  </si>
  <si>
    <t>m3</t>
  </si>
  <si>
    <t>QTDADE</t>
  </si>
  <si>
    <t>RESPONSÁVEL TÉCNICO</t>
  </si>
  <si>
    <t>ASSINATURA</t>
  </si>
  <si>
    <t>DATA</t>
  </si>
  <si>
    <t>____________________________</t>
  </si>
  <si>
    <t>APROVAÇÃO DO PREFEITO</t>
  </si>
  <si>
    <t>PREFEITO MUNICIPAL</t>
  </si>
  <si>
    <t>PROJETO:</t>
  </si>
  <si>
    <t>EQUIPAMENTO</t>
  </si>
  <si>
    <t>CARACTERÍSTICAS:</t>
  </si>
  <si>
    <t>_________________________________</t>
  </si>
  <si>
    <t>PREÇOS DE INSUMOS</t>
  </si>
  <si>
    <t>Mês de Coleta:</t>
  </si>
  <si>
    <t>Localidade:</t>
  </si>
  <si>
    <t>FLORIANÓPOLIS</t>
  </si>
  <si>
    <t>Pesquisa:</t>
  </si>
  <si>
    <t>SINAPI</t>
  </si>
  <si>
    <t>COMPOSIÇÃO DE CUSTO UNITÁRIO - SINAPI</t>
  </si>
  <si>
    <t xml:space="preserve">SERVIÇO </t>
  </si>
  <si>
    <t>UNID. DE SERVIÇO</t>
  </si>
  <si>
    <t>MATERIAIS</t>
  </si>
  <si>
    <t>CONSUMO</t>
  </si>
  <si>
    <t>UNID.</t>
  </si>
  <si>
    <t>CUSTO UNIT.</t>
  </si>
  <si>
    <t>CUSTO TOTAL</t>
  </si>
  <si>
    <t>73972/002</t>
  </si>
  <si>
    <t>kg</t>
  </si>
  <si>
    <t>TOTAL MATERIAIS</t>
  </si>
  <si>
    <t>Serra circular para madeira manual</t>
  </si>
  <si>
    <t>TOTAL EQUIPAMENTOS</t>
  </si>
  <si>
    <t>MÃO-DE-OBRA</t>
  </si>
  <si>
    <t>Ajudante de Pedreiro</t>
  </si>
  <si>
    <t>Pedreiro</t>
  </si>
  <si>
    <t>SUB-TOTAL MÃO-DE-OBRA</t>
  </si>
  <si>
    <t>TOTAL MÃO-DE-OBRA</t>
  </si>
  <si>
    <t>CUSTO DIRETO TOTAL</t>
  </si>
  <si>
    <t>BDI</t>
  </si>
  <si>
    <t>CUSTO UNITÁRIO TOTAL</t>
  </si>
  <si>
    <t>CÁLCULO</t>
  </si>
  <si>
    <t>Escavação</t>
  </si>
  <si>
    <t>m</t>
  </si>
  <si>
    <t>SERVIÇOS INICIAIS</t>
  </si>
  <si>
    <t>2.1</t>
  </si>
  <si>
    <t>2.2</t>
  </si>
  <si>
    <t>2.3</t>
  </si>
  <si>
    <t>2.4</t>
  </si>
  <si>
    <t>SERVIÇOS EM DRENAGEM PLUVIAL</t>
  </si>
  <si>
    <t>3.1</t>
  </si>
  <si>
    <t>Conforme Planilha</t>
  </si>
  <si>
    <t>Estado de Santa Catarina</t>
  </si>
  <si>
    <t>Projeto:</t>
  </si>
  <si>
    <t>Data:</t>
  </si>
  <si>
    <t>Localização:</t>
  </si>
  <si>
    <t>Tubo em concreto circular</t>
  </si>
  <si>
    <t>L contr.</t>
  </si>
  <si>
    <t>Trecho</t>
  </si>
  <si>
    <t>Cotas (m)</t>
  </si>
  <si>
    <t>Distância</t>
  </si>
  <si>
    <t>Distância contr.(m)</t>
  </si>
  <si>
    <t>Declividade (m/m)</t>
  </si>
  <si>
    <t>Área contribuição (ha)</t>
  </si>
  <si>
    <t>C</t>
  </si>
  <si>
    <t>Q (m3/s)</t>
  </si>
  <si>
    <t>Diâmetro (m)</t>
  </si>
  <si>
    <t xml:space="preserve"> (PV)</t>
  </si>
  <si>
    <t>Montante</t>
  </si>
  <si>
    <t>Jusante</t>
  </si>
  <si>
    <t>trecho (m)</t>
  </si>
  <si>
    <t>Acumulada</t>
  </si>
  <si>
    <t>Calculado</t>
  </si>
  <si>
    <t>Comercial</t>
  </si>
  <si>
    <t>Tr</t>
  </si>
  <si>
    <t>n</t>
  </si>
  <si>
    <t>Cálculo</t>
  </si>
  <si>
    <t>Carlos Alberto Bley</t>
  </si>
  <si>
    <r>
      <t xml:space="preserve">Coef. De rugosidade do tubo:  </t>
    </r>
    <r>
      <rPr>
        <b/>
        <sz val="10"/>
        <rFont val="Arial"/>
        <family val="2"/>
      </rPr>
      <t>n = 0,013</t>
    </r>
  </si>
  <si>
    <t>Escavação Tubulação Ø 0,30</t>
  </si>
  <si>
    <t>EXTENSÃO [L]
(m)</t>
  </si>
  <si>
    <t>DIÂMETRO [d]
(m)</t>
  </si>
  <si>
    <t>ALTURA [H]
(m)</t>
  </si>
  <si>
    <t>DIÂMETRO 
EXTERNO [D] (m)</t>
  </si>
  <si>
    <t>LARGURA [l]
(m)</t>
  </si>
  <si>
    <t>VOLUME DE 
REATERRO [Vr] (m3)</t>
  </si>
  <si>
    <t>Escavação Tubulação</t>
  </si>
  <si>
    <t>PV</t>
  </si>
  <si>
    <t>DISTÂNCIA 
[L] 
(m)</t>
  </si>
  <si>
    <t>NÚMERO 
DE TUBOS [n]</t>
  </si>
  <si>
    <t>FOLGA [f] 
(m)</t>
  </si>
  <si>
    <t>LASTRO DE 
BRITA [B]
(m3)</t>
  </si>
  <si>
    <t>RESUMO</t>
  </si>
  <si>
    <t>COMPRIMENTO TOTAL Ø 30</t>
  </si>
  <si>
    <t>COMPRIMENTO TOTAL Ø 40</t>
  </si>
  <si>
    <t>BOCA DE LOBO</t>
  </si>
  <si>
    <r>
      <t>VOLUME 
ESCAVAÇÃO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</si>
  <si>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DOS TUBOS [V</t>
    </r>
    <r>
      <rPr>
        <b/>
        <sz val="8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</si>
  <si>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ALTURA 
MONTANTE [H</t>
    </r>
    <r>
      <rPr>
        <b/>
        <sz val="8"/>
        <color indexed="8"/>
        <rFont val="Calibri"/>
        <family val="2"/>
      </rPr>
      <t>m</t>
    </r>
    <r>
      <rPr>
        <b/>
        <sz val="11"/>
        <color indexed="8"/>
        <rFont val="Calibri"/>
        <family val="2"/>
      </rPr>
      <t>](m)</t>
    </r>
  </si>
  <si>
    <r>
      <t>ALTURA 
JUSANTE [H</t>
    </r>
    <r>
      <rPr>
        <b/>
        <sz val="8"/>
        <color indexed="8"/>
        <rFont val="Calibri"/>
        <family val="2"/>
      </rPr>
      <t>j</t>
    </r>
    <r>
      <rPr>
        <b/>
        <sz val="11"/>
        <color indexed="8"/>
        <rFont val="Calibri"/>
        <family val="2"/>
      </rPr>
      <t>](m)</t>
    </r>
  </si>
  <si>
    <r>
      <t>MÉDIA 
ALTURA [H</t>
    </r>
    <r>
      <rPr>
        <b/>
        <sz val="8"/>
        <color indexed="8"/>
        <rFont val="Calibri"/>
        <family val="2"/>
      </rPr>
      <t>méd</t>
    </r>
    <r>
      <rPr>
        <b/>
        <sz val="11"/>
        <color indexed="8"/>
        <rFont val="Calibri"/>
        <family val="2"/>
      </rPr>
      <t>](m)</t>
    </r>
  </si>
  <si>
    <r>
      <t>VOLUME 
ESCAVAÇÃO
ATÉ 1,50 m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</si>
  <si>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DE 
REATERRO [V</t>
    </r>
    <r>
      <rPr>
        <b/>
        <sz val="8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] (m3)</t>
    </r>
  </si>
  <si>
    <t>Data</t>
  </si>
  <si>
    <t>Prefeito</t>
  </si>
  <si>
    <t>Engenheiro</t>
  </si>
  <si>
    <t>prefeitos</t>
  </si>
  <si>
    <t>município</t>
  </si>
  <si>
    <t>Município</t>
  </si>
  <si>
    <t>Balneário Camboriú</t>
  </si>
  <si>
    <t>Edson Renato Dias</t>
  </si>
  <si>
    <t>Balneário Piçarras</t>
  </si>
  <si>
    <t>Bombinhas</t>
  </si>
  <si>
    <t>Camboriú</t>
  </si>
  <si>
    <t>Luzia Lourdes Coppi Mathias</t>
  </si>
  <si>
    <t>Ilhota</t>
  </si>
  <si>
    <t>Ademar Felisky</t>
  </si>
  <si>
    <t>genero</t>
  </si>
  <si>
    <t>Itapema</t>
  </si>
  <si>
    <t>Sabino Bussanello</t>
  </si>
  <si>
    <t>Itajaí</t>
  </si>
  <si>
    <t>Jandir Bellini</t>
  </si>
  <si>
    <t>Luís Alves</t>
  </si>
  <si>
    <t>Viland Bork</t>
  </si>
  <si>
    <t>Navegantes</t>
  </si>
  <si>
    <t>Roberto Carlos de Souza</t>
  </si>
  <si>
    <t>Penha</t>
  </si>
  <si>
    <t>Evandro Eredes dos Navegantes</t>
  </si>
  <si>
    <t>Porto belo</t>
  </si>
  <si>
    <t>Albert Stadler</t>
  </si>
  <si>
    <t>Crea</t>
  </si>
  <si>
    <t>8.333-3</t>
  </si>
  <si>
    <t>Ralf Nordt</t>
  </si>
  <si>
    <t>Rubens Knaipp</t>
  </si>
  <si>
    <t>Carolina Fruet de Lima</t>
  </si>
  <si>
    <t>Cálculo de Escavação e Reaterro                                 Folha 01/01</t>
  </si>
  <si>
    <t>Obra:</t>
  </si>
  <si>
    <r>
      <t>VOLUME 
ESCAVAÇÃO
ACIMA DE 1,50 m [V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] (m3)</t>
    </r>
  </si>
  <si>
    <t xml:space="preserve">PREFEITURA MUNICIPAL DE </t>
  </si>
  <si>
    <t>ARGAMASSA =</t>
  </si>
  <si>
    <t>4.1</t>
  </si>
  <si>
    <t>QUANT.</t>
  </si>
  <si>
    <t xml:space="preserve">MUNICÍPIO: </t>
  </si>
  <si>
    <t xml:space="preserve">Localização: </t>
  </si>
  <si>
    <t>2.5</t>
  </si>
  <si>
    <t>74209/001</t>
  </si>
  <si>
    <t>73916/002</t>
  </si>
  <si>
    <t>102.390-2</t>
  </si>
  <si>
    <t xml:space="preserve">Nome: </t>
  </si>
  <si>
    <t xml:space="preserve">Crea: </t>
  </si>
  <si>
    <t>74223/001</t>
  </si>
  <si>
    <t xml:space="preserve">BAIRRO </t>
  </si>
  <si>
    <t>OBS. DIAMETRO EXTERNO DO TUBO CONFORME NBR-8890/2003 E ARTEC - Artefatos de Cimento Ltda</t>
  </si>
  <si>
    <t>ÁREA DE 
ESCORAMENTO (m2)</t>
  </si>
  <si>
    <t>DISTÂNCIA 
TOTAL [L] 
(m)</t>
  </si>
  <si>
    <t>ok</t>
  </si>
  <si>
    <t>74164/001</t>
  </si>
  <si>
    <t>1.2</t>
  </si>
  <si>
    <t>LDI</t>
  </si>
  <si>
    <t>AC</t>
  </si>
  <si>
    <t>DF</t>
  </si>
  <si>
    <t>R</t>
  </si>
  <si>
    <t>I</t>
  </si>
  <si>
    <t>L</t>
  </si>
  <si>
    <t>Item</t>
  </si>
  <si>
    <t>Descrição dos custos indiretos</t>
  </si>
  <si>
    <t>Administração Central</t>
  </si>
  <si>
    <t>Pessoal Técnico e administrativo</t>
  </si>
  <si>
    <t>Comunicação, locomoçao, alimentação e hospedagem</t>
  </si>
  <si>
    <t>1.3</t>
  </si>
  <si>
    <t>Despesas gerais, aluguéis, telefone, manutenção e oper. de escritorio</t>
  </si>
  <si>
    <t>Subtotal</t>
  </si>
  <si>
    <t>0,11% - 8,03%</t>
  </si>
  <si>
    <t>Despesas Financeiros</t>
  </si>
  <si>
    <t>Despesas financeiras</t>
  </si>
  <si>
    <t>0,00% - 1,20%</t>
  </si>
  <si>
    <t>Garantia</t>
  </si>
  <si>
    <t>0,00% - 0,42%</t>
  </si>
  <si>
    <t>Risco</t>
  </si>
  <si>
    <t>0,00% - 2,05%</t>
  </si>
  <si>
    <t>Encargos Fiscais</t>
  </si>
  <si>
    <t>Tributos</t>
  </si>
  <si>
    <t>6,03% - 9,03%</t>
  </si>
  <si>
    <t>Lucro Planejado</t>
  </si>
  <si>
    <t>Lucro calculado e planejado</t>
  </si>
  <si>
    <t>3,83% - 9,96%</t>
  </si>
  <si>
    <t xml:space="preserve">Total apurado dos Benefícios e Despesas indiretas  </t>
  </si>
  <si>
    <t>AMFRI  Associação dos Municípios da Região da Foz do Rio Itajaí</t>
  </si>
  <si>
    <t>CREA SC  050968-0</t>
  </si>
  <si>
    <t>Conforme Projeto</t>
  </si>
  <si>
    <t>74164/004</t>
  </si>
  <si>
    <t>2.6</t>
  </si>
  <si>
    <t>2.7</t>
  </si>
  <si>
    <t>LOCALIZAÇÃO:</t>
  </si>
  <si>
    <t>MATERIAL E MÃO DE OBRA</t>
  </si>
  <si>
    <t>PROJETO</t>
  </si>
  <si>
    <t>____________________________________________________________</t>
  </si>
  <si>
    <t>_________________________________________</t>
  </si>
  <si>
    <t>CREA SC 050968-0</t>
  </si>
  <si>
    <r>
      <t xml:space="preserve">AMFRI </t>
    </r>
    <r>
      <rPr>
        <sz val="11"/>
        <color indexed="12"/>
        <rFont val="Arial"/>
        <family val="2"/>
      </rPr>
      <t>Associação dos Municípios da Região da Foz do Rio Itajaí</t>
    </r>
  </si>
  <si>
    <t>Placa de obra</t>
  </si>
  <si>
    <t>Lastro de brita 6 cm x 60 cm</t>
  </si>
  <si>
    <t>COMPRIMENTO TOTAL Ø 60</t>
  </si>
  <si>
    <t>m²</t>
  </si>
  <si>
    <t>tijolos</t>
  </si>
  <si>
    <t>h</t>
  </si>
  <si>
    <t>23422/001</t>
  </si>
  <si>
    <t>Reaterro de vala com material granular reaproveitado adensado e vibrado</t>
  </si>
  <si>
    <t>Regularização e compactação de até 20 cm</t>
  </si>
  <si>
    <t>73764/005</t>
  </si>
  <si>
    <t>74016/001</t>
  </si>
  <si>
    <t>81201 - DEINFRA</t>
  </si>
  <si>
    <t>Aço CA-50 10,0 mm</t>
  </si>
  <si>
    <t>ALTURA MÉDIA DOS PVS =</t>
  </si>
  <si>
    <t>QUANTIDADE DE TIJOLOS =</t>
  </si>
  <si>
    <t>FÓRMULA = QUANTIDADE DE TIJOLOS*25%</t>
  </si>
  <si>
    <t>QUANTIDADE DE TIJOLOS NA ÁREA DOS TUBOS PRINCIPAIS</t>
  </si>
  <si>
    <t>Tijolo cerâmico maciço 5 cm x 10 cm x 20 cm</t>
  </si>
  <si>
    <t>Argamassa pronta para revestimento externo ou interno e assentamento</t>
  </si>
  <si>
    <t>OK</t>
  </si>
  <si>
    <t>1,8 h/m²</t>
  </si>
  <si>
    <t>1,5 h/m²</t>
  </si>
  <si>
    <t>COMPATIBILIZAR O BDI COM O USADO NA ABA ORÇAMENTO</t>
  </si>
  <si>
    <r>
      <t xml:space="preserve">FAZER TODAS AS MODIFICAÇÕES INDICADAS EM </t>
    </r>
    <r>
      <rPr>
        <sz val="10"/>
        <color indexed="10"/>
        <rFont val="Arial"/>
        <family val="2"/>
      </rPr>
      <t>VERMELHO</t>
    </r>
    <r>
      <rPr>
        <sz val="10"/>
        <color indexed="13"/>
        <rFont val="Arial"/>
        <family val="2"/>
      </rPr>
      <t xml:space="preserve"> E PREENCHER O CUSTO UNITÁRIO COM OS VALORES DA TABELA SINAPI INDICADA NO </t>
    </r>
    <r>
      <rPr>
        <sz val="10"/>
        <color indexed="10"/>
        <rFont val="Arial"/>
        <family val="2"/>
      </rPr>
      <t>MÊS DE COLETA</t>
    </r>
  </si>
  <si>
    <t>H chaminé do poço de visita =</t>
  </si>
  <si>
    <t>Escavação do poço de visita =</t>
  </si>
  <si>
    <t>73817/001</t>
  </si>
  <si>
    <t>EMBASAMENTO DE MATERIAL GRANULAR - PO DE PEDRA</t>
  </si>
  <si>
    <t>TOTAL PV Ø 80</t>
  </si>
  <si>
    <t>TOTAL CL Ø 80</t>
  </si>
  <si>
    <t>TOTAL PV Ø 100</t>
  </si>
  <si>
    <t>TOTAL CL Ø 100</t>
  </si>
  <si>
    <t>TOTAL PV Ø 120</t>
  </si>
  <si>
    <t>TOTAL CL Ø 120</t>
  </si>
  <si>
    <t>TOTAL PV Ø 150</t>
  </si>
  <si>
    <t>TOTAL CL Ø 150</t>
  </si>
  <si>
    <t>COMPRIMENTO TOTAL Ø 80</t>
  </si>
  <si>
    <t>COMPRIMENTO TOTAL Ø 100</t>
  </si>
  <si>
    <t>COMPRIMENTO TOTAL Ø 120</t>
  </si>
  <si>
    <t>COMPRIMENTO TOTAL Ø 150</t>
  </si>
  <si>
    <t>H média do poço de visita Ø 80 =</t>
  </si>
  <si>
    <t>H média do poço de visita Ø 100 =</t>
  </si>
  <si>
    <t>H média do poço de visita Ø 120 =</t>
  </si>
  <si>
    <t>H média do poço de visita Ø 150 =</t>
  </si>
  <si>
    <t>TIPO
PV=1CL=2</t>
  </si>
  <si>
    <t>BOCA DE LOBO DE GAVETA</t>
  </si>
  <si>
    <t>BOCA DE BUEIRO Ø 40 cm</t>
  </si>
  <si>
    <t>BOCA DE BUEIRO DUPLO Ø 40 cm</t>
  </si>
  <si>
    <t>BOCA DE BUEIRO Ø 60 cm</t>
  </si>
  <si>
    <t>BOCA DE BUEIRO DUPLO Ø 60 cm</t>
  </si>
  <si>
    <t>BOCA DE BUEIRO Ø 80 cm</t>
  </si>
  <si>
    <t>BOCA DE BUEIRO DUPLO Ø 80 cm</t>
  </si>
  <si>
    <t>BOCA DE BUEIRO Ø 100 cm</t>
  </si>
  <si>
    <t>BOCA DE BUEIRO DUPLO Ø 100 cm</t>
  </si>
  <si>
    <t>BOCA DE BUEIRO DUPLO Ø 120 cm</t>
  </si>
  <si>
    <r>
      <t xml:space="preserve">Tempo de recorrencia ou retorno:  </t>
    </r>
    <r>
      <rPr>
        <b/>
        <sz val="10"/>
        <rFont val="Arial"/>
        <family val="2"/>
      </rPr>
      <t>Tr = 5 anos</t>
    </r>
  </si>
  <si>
    <t>BOCA P/BUEIRO SIMPLES TUBULAR D=0,40M</t>
  </si>
  <si>
    <t>73856/001</t>
  </si>
  <si>
    <t>BOCA PARA BUEIRO SIMPLES TUBULAR, DIAMETRO =0,60M,</t>
  </si>
  <si>
    <t>73856/002</t>
  </si>
  <si>
    <t>CA PARA BUEIRO SIMPLES TUBULAR, DIAMETRO =0,80M,</t>
  </si>
  <si>
    <t>73856/003</t>
  </si>
  <si>
    <t>BOCA PARA BUEIRO SIMPLES TUBULAR, DIAMETRO =1,00M,</t>
  </si>
  <si>
    <t>73856/004</t>
  </si>
  <si>
    <t>BOCA PARA BUEIRO SIMPLES TUBULAR, DIAMETRO =1,20M,</t>
  </si>
  <si>
    <t>BOCA PARA BUEIRO DUPLO TUBULAR, DIAMETRO =0,40M,</t>
  </si>
  <si>
    <t>73856/006</t>
  </si>
  <si>
    <t>BOCA PARA BUEIRO DUPLO TUBULAR, DIAMETRO =0,60M,</t>
  </si>
  <si>
    <t>73856/007</t>
  </si>
  <si>
    <t>BOCA PARA BUEIRO DUPLO TUBULAR, DIAMETRO =0,80M,</t>
  </si>
  <si>
    <t>73856/008</t>
  </si>
  <si>
    <t>BOCA PARA BUEIRO DUPLO TUBULAR, DIAMETRO =1,00M,</t>
  </si>
  <si>
    <t>73856/009</t>
  </si>
  <si>
    <t>BOCA PARA BUEIRO DUPLOTUBULAR, DIAMETRO =1,20M,</t>
  </si>
  <si>
    <t>73856/010</t>
  </si>
  <si>
    <t>TOTAL PV DUPLO Ø 80</t>
  </si>
  <si>
    <t>TOTAL CL DUPLO Ø 80</t>
  </si>
  <si>
    <t>TOTAL PV DUPLO Ø 100</t>
  </si>
  <si>
    <t>TOTAL CL DUPLO Ø 100</t>
  </si>
  <si>
    <t>TOTAL PV DUPLO Ø 120</t>
  </si>
  <si>
    <t>TOTAL CL DUPLO Ø 120</t>
  </si>
  <si>
    <t>TOTAL PV DUPLO Ø 150</t>
  </si>
  <si>
    <t>TOTAL CL DUPLO Ø 150</t>
  </si>
  <si>
    <t>TOTAL PV TRIPLO Ø 80</t>
  </si>
  <si>
    <t>TOTAL CL TRIPLO Ø 80</t>
  </si>
  <si>
    <t>TOTAL PV TRIPLO Ø 100</t>
  </si>
  <si>
    <t>TOTAL CL TRIPLO Ø 100</t>
  </si>
  <si>
    <t>TOTAL PV TRIPLO Ø 120</t>
  </si>
  <si>
    <t>TOTAL CL TRIPLO Ø 120</t>
  </si>
  <si>
    <t>BOCA DE BUEIRO TRIPLO Ø 60 cm</t>
  </si>
  <si>
    <t>BOCA DE BUEIRO TRIPLO Ø 80 cm</t>
  </si>
  <si>
    <t>BOCA DE BUEIRO TRIPLO Ø 100 cm</t>
  </si>
  <si>
    <t>BOCA DE BUEIRO TRIPLO Ø 120 cm</t>
  </si>
  <si>
    <t>TOTAL PV Ø 40/60</t>
  </si>
  <si>
    <t>TOTAL CL Ø 40/60</t>
  </si>
  <si>
    <t>TOTAL PV DUPLO Ø 40/60</t>
  </si>
  <si>
    <t>TOTAL CL DUPLO Ø 40/60</t>
  </si>
  <si>
    <t>TOTAL PV TRIPLO Ø 40/60</t>
  </si>
  <si>
    <t>TOTAL CL TRIPLO Ø 40/60</t>
  </si>
  <si>
    <t>H média do poço de visita Ø 40/60 =</t>
  </si>
  <si>
    <t>74147/001</t>
  </si>
  <si>
    <t>CONCRETO USINADO BOMBEADO FCK=30MPA, INCLUSIVE COLOCAÇÃO, ESPALHAMENTO</t>
  </si>
  <si>
    <t>74138/004</t>
  </si>
  <si>
    <t>74254/002</t>
  </si>
  <si>
    <t>73942/001</t>
  </si>
  <si>
    <t>CÓDIGO</t>
  </si>
  <si>
    <t>UNIDADE</t>
  </si>
  <si>
    <t>PLACA DE OBRA EM CHAPA DE ACO GALVANIZADO</t>
  </si>
  <si>
    <t>M2</t>
  </si>
  <si>
    <t>M3</t>
  </si>
  <si>
    <t>LASTRO DE BRITA</t>
  </si>
  <si>
    <t>ESCORAMENTO - PONTALETEAMETO</t>
  </si>
  <si>
    <t>ASSENTAMENTO DE TUBOS DE CONCRETO DIAMETRO = 300MM, SIMPLES OU ARMADO,</t>
  </si>
  <si>
    <t>M</t>
  </si>
  <si>
    <t>ASSENTAMENTO DE TUBOS DE CONCRETO DIAMETRO = 400MM, SIMPLES OU ARMADO,</t>
  </si>
  <si>
    <t>ASSENTAMENTO DE TUBOS DE CONCRETO DIAMETRO = 600MM, SIMPLES OU ARMADO,</t>
  </si>
  <si>
    <t>ASSENTAMENTO DE TUBOS DE CONCRETO DIAMETRO = 800MM, SIMPLES OU ARMADO,</t>
  </si>
  <si>
    <t>ASSENTAMENTO DE TUBOS DE CONCRETO DIAMETRO = 1000MM, SIMPLES OU ARMADO</t>
  </si>
  <si>
    <t>ASSENTAMENTO DE TUBOS DE CONCRETO DIAMETRO = 1200MM, SIMPLES OU ARMADO</t>
  </si>
  <si>
    <t>ASSENTAMENTO DE TUBOS DE CONCRETO DIAMETRO = 1500MM, SIMPLES OU ARMADO</t>
  </si>
  <si>
    <t>TUBO CONCRETO SIMPLES CLASSE - PS2 PB NBR-8890 DN 300MM P/AGUAS PLUVIAIS</t>
  </si>
  <si>
    <t>TUBO CONCRETO SIMPLES CLASSE - PS2 PB NBR-8890 DN 400MM P/AGUAS PLUVIAIS</t>
  </si>
  <si>
    <t>TUBO CONCRETO ARMADO CLASSE PA-2 PB NBR-8890/2007 DN 400MM P/AGUAS PLUVIAIS</t>
  </si>
  <si>
    <t>TUBO CONCRETO ARMADO CLASSE PA-2 PB NBR-8890/2007 DN 600MM P/AGUAS PLUVIAIS</t>
  </si>
  <si>
    <t>TUBO CONCRETO SIMPLES CLASSE - PS2 PB NBR-8890 DN 600MM P/AGUAS PLUVIAIS</t>
  </si>
  <si>
    <t>TUBO CONCRETO ARMADO CLASSE PA-2 PB NBR-8890/2007 DN 800MM P/AGUAS PLUVIAIS</t>
  </si>
  <si>
    <t>TUBO CONCRETO ARMADO CLASSE PA-2 PB NBR-8890/2007 DN 1000MM P/AGUAS PLUVIAIS</t>
  </si>
  <si>
    <t>TUBO CONCRETO ARMADO CLASSE PA-2 PB NBR-8890/2007 DN 1200MM P/AGUAS PLUVIAIS</t>
  </si>
  <si>
    <t>TUBO CONCRETO ARMADO CLASSE PA-2 PB NBR-8890/2007 DN 1500MM P/AGUAS PLUVIAIS</t>
  </si>
  <si>
    <t>REATERRO DE VALA COM MATERIAL GRANULAR REAPROVEITADO ADENSADO E VIBRADO</t>
  </si>
  <si>
    <t>REATERRO DE VALA COM MATERIAL GRANULAR DE EMPRESTIMO ADENSADO E VIBRADO</t>
  </si>
  <si>
    <t>UN</t>
  </si>
  <si>
    <t>REGULARIZACAO E COMPACTACAO DE SUBLEITO ATE 20 CM DE ESPESSURA</t>
  </si>
  <si>
    <t>COLCHAO DE AREIA PARA PAVIMENTACAO EM PARALELEPIPEDO OU BLOCOS DE CONCRETO INTERTRAVADOS</t>
  </si>
  <si>
    <t>MEIO-FIO (GUIA) DE CONCRETO PRE-MOLDADO, DIMENSÕES 12X15X30X100CM</t>
  </si>
  <si>
    <t>MEIO-FIO EM PEDRA GRANITICA, REJUNTADO C/ARGAMASSA CIMENTO E AREIA 1:3</t>
  </si>
  <si>
    <t>74223/002</t>
  </si>
  <si>
    <t>PISO EM BLOCO SEXTAVADO 30X30CM, ESPESSURA 8CM, ASSENTADO SOBRE COLCHAO DE AREIA ESPESSURA 6CM</t>
  </si>
  <si>
    <t>73764/006</t>
  </si>
  <si>
    <t>PAVIMENTACAO EM PARALELEPIPEDO SOBRE COLCHAO DE AREIA 10CM, REJUNTADO COM AREIA</t>
  </si>
  <si>
    <t>EMBASAMENTO DE MATERIAL GRANULAR - RACHAO</t>
  </si>
  <si>
    <t>73817/002</t>
  </si>
  <si>
    <t>REGULARIZACAO E COMPACTACAO DE TERRENO, COM SOQUETE</t>
  </si>
  <si>
    <t>MATERIAL PARA ATERRO/ REATERRO (BARRO, ARGILA OU SAIBRO) - COM TRANSPORTE ATÉ 10 KM</t>
  </si>
  <si>
    <t>PINTURA DE LIGACAO COM EMULSAO RR-1C</t>
  </si>
  <si>
    <t>PINTURA DE LIGACAO COM EMULSAO RR-2C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</si>
  <si>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</si>
  <si>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</si>
  <si>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</si>
  <si>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</si>
  <si>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BASE PARA PAVIMENTACAO COM BRITA GRADUADA, INCLUSIVE COMPACTACAO</t>
  </si>
  <si>
    <t>BASE PARA PAVIMENTACAO COM BRITA CORRIDA, INCLUSIVE COMPACTACAO</t>
  </si>
  <si>
    <t>FORMA EM CHAPA DE MADEIRA COMPENSADA PLASTIFICADA 12MM, PARA ESTRUTURAS DE CONCRETO (PILARES/VIGAS/LAJES) REAPR. 5X</t>
  </si>
  <si>
    <t>LASTRO DE BRITA Nº 2 APILOADA MANUALMENTE COM MAÇO DE ATÉ 30 KG</t>
  </si>
  <si>
    <t>ARMACAO ACO CA-50, DIAM. 6,3 (1/4) À 12,5MM(1/2) -FORNECIMENTO/ CORTE(PERDA DE 10%) / DOBRA / COLOCAÇÃO.</t>
  </si>
  <si>
    <t>KG</t>
  </si>
  <si>
    <t>ARMACAO ACO CA-50 DIAM.16,0 (5/8) À 25,0MM (1) - FORNECIMENTO/ CORTE(PERDA DE 10%) / DOBRA / COLOCAÇÃO.</t>
  </si>
  <si>
    <t>74254/001</t>
  </si>
  <si>
    <t>ARMACAO DE ACO CA-60 DIAM.7,0 A 8,0MM - FORNECIMENTO / CORTE (C/ PERDA DE 10%) / DOBRA / COLOCACAO.</t>
  </si>
  <si>
    <t>ARMACAO DE ACO CA-60 DIAM. 3,4 A 6,0MM.- FORNECIMENTO / CORTE (C/PERDA DE 10%) / DOBRA / COLOCAÇÃO.</t>
  </si>
  <si>
    <t>73942/002</t>
  </si>
  <si>
    <t>CONCRETO ESTRUTURAL FCK=20MPA, VIRADO EM BETONEIRA, NA OBRA, SEM LANÇAMENTO</t>
  </si>
  <si>
    <t>CONCRETO USINADO BOMBEADO FCK=20MPA, INCLUSIVE COLOCAÇÃO, ESPALHAMENTO E ACABAMENTO.</t>
  </si>
  <si>
    <t>74138/002</t>
  </si>
  <si>
    <t>CONCRETO USINADO BOMBEADO FCK=25MPA, INCLUSIVE COLOCAÇÃO, ESPALHAMENTO E ACABAMENTO.</t>
  </si>
  <si>
    <t>74138/003</t>
  </si>
  <si>
    <t>ACO CA-50 1/4" (6,35 MM)</t>
  </si>
  <si>
    <t>ACO CA-50 3/8" (9,52 MM)</t>
  </si>
  <si>
    <t>TIJOLO CERAMICO MACICO 5 X 10 X 20CM</t>
  </si>
  <si>
    <t>ARGAMASSA PRONTA PARA REVESTIMENTO EXTERNO OU INTERNO</t>
  </si>
  <si>
    <t>TAMPAO FOFO ARTICULADO 83KG CARGA MAX 30000KG DIAM ABERT 600MM P/ POCO VISITA DE REDE AGUA PLUVIAL, ESGOTO ETC</t>
  </si>
  <si>
    <t>AJUDANTE DE PEDREIRO</t>
  </si>
  <si>
    <t>H</t>
  </si>
  <si>
    <t>PEDREIRO</t>
  </si>
  <si>
    <t>PLACA ESMALTADA PARA IDENTIFICAÇÃO NR DE RUA, DIMENSÕES 45X25CM</t>
  </si>
  <si>
    <t>SINALIZACAO - PLACA OCTOGONAL COM L=25 CM - GT/GT PLACA REGUMENTADORA R-1 - (Parada obrigatória)</t>
  </si>
  <si>
    <t>BOCA DE BUEIRO TRIPLO Ø 40 cm</t>
  </si>
  <si>
    <t>PAVIMENTACAO EM BLOCOS INTERTRAVADOS DE CONCRETO, ESPESSURA 8CM, FCK 3,5MPA, ASSENTADOS SOBRE COLCHAO DE AREIA.</t>
  </si>
  <si>
    <t>PAVIMENTACAO EM BLOCOS INTERTRAVADOS DE CONCRETO, ESPESSURA 10CM, FCK 3,5MPA, ASSENTADOS SOBRE COLCHAO DE AREIA.</t>
  </si>
  <si>
    <t>Memorial de Cálculo</t>
  </si>
  <si>
    <t>Folha 01/01</t>
  </si>
  <si>
    <t>2.8</t>
  </si>
  <si>
    <t>2.9</t>
  </si>
  <si>
    <t>2.10</t>
  </si>
  <si>
    <t>SINALIZAÇÃO</t>
  </si>
  <si>
    <t>4.2</t>
  </si>
  <si>
    <t>73856/005</t>
  </si>
  <si>
    <t>FABRICAÇÃO E APLICAÇÃO DE CONCRETO BETUMINOSO USINADO A QUENTE(CBUQ),CAP 50/70, EXCLUSIVE TRANSPORTE</t>
  </si>
  <si>
    <t>Deinfra - 81017</t>
  </si>
  <si>
    <t>SINALIZACAO HORIZONTAL COM TINTA RETRORREFLETIVA A BASE DE RESINA ACRILICA COM MICROESFERAS DE VIDRO</t>
  </si>
  <si>
    <t>Deinfra - 80550</t>
  </si>
  <si>
    <t>PINTURA DE SETA E/OU DIZERES NA PISTA</t>
  </si>
  <si>
    <t>SINALIZACAO - PLACAS DE 60 X 60 CM - GT/VI</t>
  </si>
  <si>
    <t>DEFENSA SINGELA SEMI-MALEAVEL</t>
  </si>
  <si>
    <t>4 S 06 010 01</t>
  </si>
  <si>
    <t>REMOCAO DE SOLOS MOLES COM TRANSPORTE 1000&lt; DMT &lt;=1200 M</t>
  </si>
  <si>
    <t>DEINFRA - 52100</t>
  </si>
  <si>
    <t>73799/001</t>
  </si>
  <si>
    <t>GRELHA EM FERRO FUNDIDO, DIMENSÕES 30X90CM, 85KG PARA CX RALO, FORNECIDA E ASSENTADA COM ARGAMASSA 1:4 CIMENTO:AREIA.</t>
  </si>
  <si>
    <t>Forn. e colocação de tachão reflet. bidirecional</t>
  </si>
  <si>
    <t>4 S 06 121 11</t>
  </si>
  <si>
    <t>SINALIZACAO - PLACAS D = 60 CM - GT/VI</t>
  </si>
  <si>
    <t>DEINFRA - 80595</t>
  </si>
  <si>
    <t>BOCA DE BUEIRO Ø 150 cm</t>
  </si>
  <si>
    <t>3.2</t>
  </si>
  <si>
    <t>3.3</t>
  </si>
  <si>
    <t>Placa de Identificação de rua</t>
  </si>
  <si>
    <t>Conforme projeto</t>
  </si>
  <si>
    <t>4 S 06 200 02</t>
  </si>
  <si>
    <t>Tampa em concreto armado, virado em betoneira, fck=20 MPa (1,20 m x 1,20 m x 0,15 m)</t>
  </si>
  <si>
    <t>Leonel José Martins</t>
  </si>
  <si>
    <t>Poço de visita Ø 40/60 cm - simples</t>
  </si>
  <si>
    <t>Caixa de ligação Ø 40/60 cm - simples</t>
  </si>
  <si>
    <t>Fornecimento e colocação de manta geotextil 200 g/m2, largura = 30 cm</t>
  </si>
  <si>
    <t xml:space="preserve"> Cálculo de Drenagem                                 Folha 01/01</t>
  </si>
  <si>
    <r>
      <t xml:space="preserve">Intensidade da chuva: </t>
    </r>
    <r>
      <rPr>
        <b/>
        <sz val="10"/>
        <rFont val="Arial"/>
        <family val="2"/>
      </rPr>
      <t>i = 84,92 mm/h</t>
    </r>
  </si>
  <si>
    <t>Ø 30</t>
  </si>
  <si>
    <t>Ø 40</t>
  </si>
  <si>
    <t>Escavação mec. de valas em qualquer tipo de solo, 0,00 a 4,00 m</t>
  </si>
  <si>
    <r>
      <t>FÓRMULA = ARREDONDAR.PARA.CIMA(</t>
    </r>
    <r>
      <rPr>
        <sz val="10"/>
        <color indexed="10"/>
        <rFont val="Arial"/>
        <family val="2"/>
      </rPr>
      <t>SOMAR AS COTAS DE TODOS OS PVS DE 40 E 60 CM SOBRE O TOTAL DE PVS DE 40 E 60 CM</t>
    </r>
    <r>
      <rPr>
        <sz val="10"/>
        <rFont val="Arial"/>
        <family val="0"/>
      </rPr>
      <t>;1)+0,2</t>
    </r>
  </si>
  <si>
    <r>
      <t>FÓRMULA = ((ALTURA MÉDIA DOS PVS-0,2)*</t>
    </r>
    <r>
      <rPr>
        <sz val="10"/>
        <rFont val="Arial"/>
        <family val="2"/>
      </rPr>
      <t>SOMA DE TODOS OS LADOS DO PV*QUANTIDADE DE TIJOLO POR M² COM ARGAMASSA)-QUANTIDADE DE TIJOLOS NA ÁREA DOS TUBOS PRINCIPAIS</t>
    </r>
  </si>
  <si>
    <t>Lastro de brita nº 2 apiloada (1,70 m x 1,70 m x 0,10 m)</t>
  </si>
  <si>
    <t>Laje de fundo em concreto armado, virado em betoneira, fck=20 MPa (1,70 m x 1,70 m x 0,10 m)</t>
  </si>
  <si>
    <t>Tampa em concreto armado, virado em betoneira, fck=20 MPa (1,20 m x 1,20 m x 0,15 m) - (π x (0,60 m/2)² x 0,15 m)</t>
  </si>
  <si>
    <t>FÓRMULA = SOMA DE TODOS OS LADOS DO PV*ALRURA MÉDIA DOS PVS*HORA DE SERVENTE POR M²</t>
  </si>
  <si>
    <t>FÓRMULA = SOMA DE TODOS OS LADOS DO PV*ALRURA MÉDIA DOS PVS*HORA DE PEDREIRO POR M²</t>
  </si>
  <si>
    <t xml:space="preserve">BDI = </t>
  </si>
  <si>
    <t xml:space="preserve">RUA </t>
  </si>
  <si>
    <t>PAVIMENTAÇÃO PASSEIO</t>
  </si>
  <si>
    <t>Meio-fio interno 15 x 30 x 80 cm - incluindo rejunte e reaterro - fck=25 MPa</t>
  </si>
  <si>
    <t>4.3</t>
  </si>
  <si>
    <t>4.4</t>
  </si>
  <si>
    <t>4.5</t>
  </si>
  <si>
    <t>RAMPA ACESSO PASSEIO DEFICIENTE FÍSICO</t>
  </si>
  <si>
    <t>Concreto simples h=7 cm, virado em betoneira fck=20 MPa</t>
  </si>
  <si>
    <t>Pintura símbolo Deficiente Físico - Cor fundo azul 60 x 60 cm</t>
  </si>
  <si>
    <t>Pintura símbolo Deficiente Físico - Pictograma cor branca</t>
  </si>
  <si>
    <t>5.1</t>
  </si>
  <si>
    <t>5.2</t>
  </si>
  <si>
    <t>5.3</t>
  </si>
  <si>
    <t>Pintura faixa de travessia de pedestres zebrada - FTP-1 cor branca</t>
  </si>
  <si>
    <t>6.1</t>
  </si>
  <si>
    <t>6.2</t>
  </si>
  <si>
    <t>6.3</t>
  </si>
  <si>
    <t>Boca de lobo</t>
  </si>
  <si>
    <t>6.4</t>
  </si>
  <si>
    <t>Sinalização tátil de alerta 20 x 20 x 6 cm fck=35 MPa</t>
  </si>
  <si>
    <t>Carga mecanizada e remoção de excedentes com transporte até 1 km</t>
  </si>
  <si>
    <t>______________________________</t>
  </si>
  <si>
    <t>6.5</t>
  </si>
  <si>
    <t>Pavimento intertravado paver holand cinza 20 x 10 x 6 cm fck=35 MPa</t>
  </si>
  <si>
    <t>POÇO DE VISITA Ø 40/60 cm</t>
  </si>
  <si>
    <t>CAIXA DE LIGAÇÃO Ø 40/60 cm</t>
  </si>
  <si>
    <t>ALTURA CAIXA DE LIGAÇÃO =</t>
  </si>
  <si>
    <t>008.333-3</t>
  </si>
  <si>
    <t xml:space="preserve">Engenheiro Civil - CREA SC </t>
  </si>
  <si>
    <t>PLANILHA A 1</t>
  </si>
  <si>
    <t>PLANILHA DE ORÇAMENTO PARA OBRAS E SERVIÇOS DE ENGENHARIA - MODELO</t>
  </si>
  <si>
    <t>MUNICÍPIO:</t>
  </si>
  <si>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</si>
  <si>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r>
      <t>DATA</t>
    </r>
    <r>
      <rPr>
        <sz val="8"/>
        <color indexed="8"/>
        <rFont val="Arial"/>
        <family val="2"/>
      </rPr>
      <t> </t>
    </r>
  </si>
  <si>
    <t>Data de referência dos custos:</t>
  </si>
  <si>
    <t xml:space="preserve">CÓDIGO (SINAPI / SICRO) </t>
  </si>
  <si>
    <t>CUSTO UNITÁRIO</t>
  </si>
  <si>
    <t>BDI (%)</t>
  </si>
  <si>
    <t>PREÇO UNITÁRIO</t>
  </si>
  <si>
    <t>PREÇO DO SERVIÇO</t>
  </si>
  <si>
    <t>VALOR TOTAL R$</t>
  </si>
  <si>
    <r>
      <t xml:space="preserve">DATA: </t>
    </r>
    <r>
      <rPr>
        <sz val="10"/>
        <color indexed="8"/>
        <rFont val="Arial"/>
        <family val="2"/>
      </rPr>
      <t>     </t>
    </r>
  </si>
  <si>
    <r>
      <t xml:space="preserve">NOME: </t>
    </r>
    <r>
      <rPr>
        <sz val="10"/>
        <color indexed="8"/>
        <rFont val="Arial"/>
        <family val="2"/>
      </rPr>
      <t>     </t>
    </r>
  </si>
  <si>
    <t>ASSINATURA:      </t>
  </si>
  <si>
    <t>Observações: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</si>
  <si>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</si>
  <si>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</si>
  <si>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3 - A parcela de Benefícios e Despesas Indiretas (BDI) não poderá ser superior ao divulgado pelo Departamento Estadual de Infraestrutura (DEINFRA).</t>
  </si>
  <si>
    <t>PLANILHA   A 2</t>
  </si>
  <si>
    <t>PLANILHA DE CRONOGRAMA FÍSICO-FINANCEIRO - MODELO</t>
  </si>
  <si>
    <t>FOLHA No </t>
  </si>
  <si>
    <t>DATA </t>
  </si>
  <si>
    <t>Periodicidade das Estapas:</t>
  </si>
  <si>
    <t>PERÍODO</t>
  </si>
  <si>
    <t>Etapa 01</t>
  </si>
  <si>
    <t>Etapa 02</t>
  </si>
  <si>
    <t>Etapa 03</t>
  </si>
  <si>
    <t>Etapa 04</t>
  </si>
  <si>
    <t>Etapa 05</t>
  </si>
  <si>
    <t>TOTAL NO MÊS (SIMPLES)</t>
  </si>
  <si>
    <t>TOTAL NO MÊS (ACUMULADO)</t>
  </si>
  <si>
    <t>DATA DO ORÇAMENTO:      </t>
  </si>
  <si>
    <t>ASSINATURA:</t>
  </si>
  <si>
    <t>1 - Para obras e serviços de engenharia poderão ser previstas ATÉ 5 (cinco) etapas para execução do cronograma e desembolso.</t>
  </si>
  <si>
    <t>2 - Deve-se incluir quantas linhas forem necessárias.</t>
  </si>
  <si>
    <t>Nº da Medição</t>
  </si>
  <si>
    <t>Planilha de Medição - A3</t>
  </si>
  <si>
    <t>PLANILHA DE MEDIÇÃO</t>
  </si>
  <si>
    <t>EMPRESA EXECUTORA:</t>
  </si>
  <si>
    <t>DATA INÍCIO DA OBRA:</t>
  </si>
  <si>
    <t>PRAZO DE EXECUÇÃO</t>
  </si>
  <si>
    <t>Número medições</t>
  </si>
  <si>
    <t>Período da Medição</t>
  </si>
  <si>
    <t>1 - As células em amarelo preencher conforme licitação da obra;</t>
  </si>
  <si>
    <t>2- As células em verde preencher conforme percentual de participação definido para esta obra;</t>
  </si>
  <si>
    <t>FONTE DE RECURSOS</t>
  </si>
  <si>
    <t>VALOR CONTRATO</t>
  </si>
  <si>
    <t>Medição Atual (R$)</t>
  </si>
  <si>
    <t>FUNDAM:</t>
  </si>
  <si>
    <t>3- As células em azul preencher de acordo com medição atual e quantidades acumuladas de medições anteriores;</t>
  </si>
  <si>
    <t>CONTRAPARTIDA:</t>
  </si>
  <si>
    <t>TOTAL DA OBRA:</t>
  </si>
  <si>
    <t xml:space="preserve">ITENS </t>
  </si>
  <si>
    <t>SERVIÇOS LICITADOS</t>
  </si>
  <si>
    <t>CONTRATADO</t>
  </si>
  <si>
    <t>EXECUTADO</t>
  </si>
  <si>
    <t>NO PERÍODO</t>
  </si>
  <si>
    <t>ACUMULADO NAS MEDIÇÕES ANTERIORES</t>
  </si>
  <si>
    <t>ACUMULADO TOTAL</t>
  </si>
  <si>
    <r>
      <rPr>
        <b/>
        <u val="single"/>
        <sz val="8"/>
        <rFont val="Arial"/>
        <family val="2"/>
      </rPr>
      <t>PREÇO</t>
    </r>
    <r>
      <rPr>
        <b/>
        <sz val="8"/>
        <rFont val="Arial"/>
        <family val="2"/>
      </rPr>
      <t xml:space="preserve"> Unitário</t>
    </r>
  </si>
  <si>
    <t>PREÇO TOTAL</t>
  </si>
  <si>
    <t>DESCRIÇÃO</t>
  </si>
  <si>
    <t>TOTAL GERAL DA OBRA:</t>
  </si>
  <si>
    <t>Atesto que os serviços foram executados conforme projetos aprovados</t>
  </si>
  <si>
    <t>Atesto que os serviços foram executados e aceitos</t>
  </si>
  <si>
    <t>Medição aprovada para liberação</t>
  </si>
  <si>
    <t xml:space="preserve"> </t>
  </si>
  <si>
    <t>Responsável Técnico pela Execução</t>
  </si>
  <si>
    <t>Responsável Técnico pela Fiscalização</t>
  </si>
  <si>
    <t>Engenheiro do BRDE</t>
  </si>
  <si>
    <t>PLANILHA DE ORÇAMENTO PARA MÁQUINAS E EQUIPAMENTOS - MODELO / PLANILHA A-4</t>
  </si>
  <si>
    <t>VALOR UNITÁRIO</t>
  </si>
  <si>
    <t>NOME FORNECEDOR 1</t>
  </si>
  <si>
    <t>TELEFONE FORNECEDOR 1</t>
  </si>
  <si>
    <t>DATA DA PESQUISA</t>
  </si>
  <si>
    <t xml:space="preserve">FORMA DE PESQUISA *        </t>
  </si>
  <si>
    <t>NOME FORNECEDOR 2</t>
  </si>
  <si>
    <t>TELEFONE FORNECEDOR 2</t>
  </si>
  <si>
    <t>NOME FORNECEDOR 3</t>
  </si>
  <si>
    <t>TELEFONE FORNECEDOR 3</t>
  </si>
  <si>
    <t>* Formas dePesquisa: 1 -Telefone, 2 - Internet, 3 - Orçamento por Fax, 4 - Orçamento por e-mail, 5 - Outros</t>
  </si>
  <si>
    <t>BOMBINHAS</t>
  </si>
  <si>
    <t>Ana Paula da Silva</t>
  </si>
  <si>
    <t>1.0</t>
  </si>
  <si>
    <t>PREFEITA MUNICIPAL</t>
  </si>
  <si>
    <t>SINAP - AGOSTO DE 2013</t>
  </si>
  <si>
    <t>2.0</t>
  </si>
  <si>
    <t>73881/001</t>
  </si>
  <si>
    <t>COMPOSIÇÃO</t>
  </si>
  <si>
    <t>PAVIMENTAÇÃO COM LAJOTAS SEXTAVADAS</t>
  </si>
  <si>
    <t>3.0</t>
  </si>
  <si>
    <t>72961</t>
  </si>
  <si>
    <t>4.0</t>
  </si>
  <si>
    <t>5.0</t>
  </si>
  <si>
    <t>6.0</t>
  </si>
  <si>
    <r>
      <t xml:space="preserve">Nº CREA: </t>
    </r>
    <r>
      <rPr>
        <sz val="10"/>
        <color indexed="8"/>
        <rFont val="Arial"/>
        <family val="2"/>
      </rPr>
      <t>     </t>
    </r>
  </si>
  <si>
    <t>Colocação de meio-fio externo (12x15x30x80) - incluindo rejunte e reaterro - fck=25Mpa</t>
  </si>
  <si>
    <t>Sinalização tátil direcional 20 x 20 x 6 cm fck=35 MPa</t>
  </si>
  <si>
    <t>4.6</t>
  </si>
  <si>
    <t>JOSÉ AMANDIO</t>
  </si>
  <si>
    <t xml:space="preserve">PAVIMENTAÇÃO COM LAJOTAS SEXTAVADAS E DRENAGEM PLUVIAL </t>
  </si>
  <si>
    <t>NOME E Nº CREA DO RESPONSÁVEL TÉCNICO:      </t>
  </si>
  <si>
    <t>CREA:      </t>
  </si>
  <si>
    <t xml:space="preserve">CANGURU - </t>
  </si>
  <si>
    <t>CL 13</t>
  </si>
  <si>
    <t>CL 14</t>
  </si>
  <si>
    <t>CL 15</t>
  </si>
  <si>
    <t>418,70 m² x 0,05 m =</t>
  </si>
  <si>
    <t>49,00 m² x 0,07 m =</t>
  </si>
  <si>
    <t>12,56 m2 x 4,00 und</t>
  </si>
  <si>
    <t>0,29 m2 x 4,00 und =</t>
  </si>
  <si>
    <t>0,36 m2 x 8,00 und =</t>
  </si>
  <si>
    <t>0,30 m2 x 2,00 und =</t>
  </si>
  <si>
    <t>PAVER</t>
  </si>
  <si>
    <t>TATIL</t>
  </si>
  <si>
    <t>0,60 x 0,60 m x 8,00 und =</t>
  </si>
  <si>
    <t>0,0390 m² x 8,00 und =</t>
  </si>
  <si>
    <t>Assentamento de tubos de concreto diametro de 30 cm., armado ou simples</t>
  </si>
  <si>
    <t>Tubo de concreto simples classe - PS2 - NBR-8890 de Ø 30 cm, para águas pluviais</t>
  </si>
  <si>
    <t>Assentamento de tubos de concreto diametro de 40 cm., armado ou simples</t>
  </si>
  <si>
    <t>Tubo de concreto armado classe - PA2 PB NBR-8890/2007 de Ø 40 cm, para águas pluviais</t>
  </si>
  <si>
    <t>2.11</t>
  </si>
  <si>
    <t>2.12</t>
  </si>
  <si>
    <t>2.13</t>
  </si>
  <si>
    <t>2.14</t>
  </si>
  <si>
    <t>Ø 60</t>
  </si>
  <si>
    <t>Assentamento de tubos de concreto diametro de 60 cm., armado ou simples</t>
  </si>
  <si>
    <t>Tubo de concreto armado classe - PA2 PB NBR-8890/2007 de Ø 60 cm, para águas pluviais</t>
  </si>
  <si>
    <t>Material para aterro/reaterro (barro, argila ou saibro) - com transporte até 10 km</t>
  </si>
  <si>
    <t>Regularização e compactação manual de terreno com soquete</t>
  </si>
  <si>
    <t>418,70 m² =</t>
  </si>
  <si>
    <t>Areia grossa - posto jazida</t>
  </si>
  <si>
    <t>xxxx</t>
  </si>
  <si>
    <t>Servente</t>
  </si>
  <si>
    <t>Fevereiro/2014                  PLANILHA DE COMPOSIÇÃO DO BDI                  Folha 01/01</t>
  </si>
  <si>
    <t>SICRO</t>
  </si>
  <si>
    <t>julho de 2013</t>
  </si>
  <si>
    <t>Data de referência dos custos: Janeiro de 2014 - c/ Desoneração</t>
  </si>
  <si>
    <t xml:space="preserve">Pavimentação com lajotas sextavadas - (30 cm x 30 cm x 8 cm) - fck=35 </t>
  </si>
  <si>
    <t>Tubo de aço galvanizado c/ costura DIN 2440/NBR 5580 classe media DN 1.1/4" (32mm) e=3,25mm - 3,14kg/m</t>
  </si>
  <si>
    <t>6.6</t>
  </si>
  <si>
    <t>3,10 m x 14,00 und =</t>
  </si>
  <si>
    <t>Placa de regulamentação R-1 - (Parada obrigatória)*</t>
  </si>
  <si>
    <t>Placa regulamentadora R-19- (Velocidade maxima permitida)*</t>
  </si>
  <si>
    <t>Placa de advertência A-32b - (Passagem sinalizada de pedestres)*</t>
  </si>
  <si>
    <t>* 4S 06 200 02 - 1 A 01 870 01 - R$ 328,48 - R$ 30,23 = R$ 298,25</t>
  </si>
  <si>
    <t>SINAPI - 01/01/2014 - COM DESONERAÇÃO - SICRO 01/11/2013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</si>
</sst>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0.000"/>
    <numFmt numFmtId="174" formatCode="0.0000"/>
    <numFmt numFmtId="175" formatCode="0.00000"/>
    <numFmt numFmtId="176" formatCode="#,##0.000"/>
    <numFmt numFmtId="177" formatCode="#,##0.00000"/>
    <numFmt numFmtId="178" formatCode="&quot;PV&quot;0"/>
    <numFmt numFmtId="179" formatCode="&quot;PV&quot;\ 0"/>
    <numFmt numFmtId="180" formatCode="[$-416]dddd\,\ d&quot; de &quot;mmmm&quot; de &quot;yyyy"/>
    <numFmt numFmtId="181" formatCode="[$-416]mmmm\-yy;@"/>
    <numFmt numFmtId="182" formatCode="_-* #,##0.000_-;\-* #,##0.000_-;_-* &quot;-&quot;???_-;_-@_-"/>
    <numFmt numFmtId="183" formatCode="#,##0.00_ ;\-#,##0.00\ "/>
    <numFmt numFmtId="184" formatCode="&quot;R$ &quot;#,##0.00"/>
    <numFmt numFmtId="185" formatCode="[$-416]mmm\-yy;@"/>
    <numFmt numFmtId="186" formatCode="&quot;R$&quot;\ #,##0.00"/>
    <numFmt numFmtId="187" formatCode="_(* #,##0.0000_);_(* \(#,##0.0000\);_(* &quot;-&quot;????_);_(@_)"/>
    <numFmt numFmtId="188" formatCode="_(* #,##0.00_);_(* \(#,##0.00\);_(* &quot;-&quot;????_);_(@_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&quot;R$ &quot;#,##0.00;[Red]&quot;R$ &quot;#,##0.00"/>
    <numFmt numFmtId="194" formatCode="0.0%"/>
    <numFmt numFmtId="195" formatCode="[$-416]d\-mmm;@"/>
    <numFmt numFmtId="196" formatCode="\(mmm\)\(yy\)"/>
    <numFmt numFmtId="197" formatCode="0.0"/>
    <numFmt numFmtId="198" formatCode="0.000000000"/>
    <numFmt numFmtId="199" formatCode="0.00000000"/>
    <numFmt numFmtId="200" formatCode="0.0000000"/>
    <numFmt numFmtId="201" formatCode="0.000000"/>
    <numFmt numFmtId="202" formatCode="0.0000000000"/>
    <numFmt numFmtId="203" formatCode="#,##0.0000"/>
    <numFmt numFmtId="204" formatCode="#,##0.0"/>
    <numFmt numFmtId="205" formatCode="&quot;PV&quot;"/>
    <numFmt numFmtId="206" formatCode="&quot;PV&quot;&quot;&quot;"/>
    <numFmt numFmtId="207" formatCode="&quot;R$&quot;00,00\ #,##0.00"/>
    <numFmt numFmtId="208" formatCode="dd/mm/yy;@"/>
  </numFmts>
  <fonts count="9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Calibri"/>
      <family val="2"/>
    </font>
    <font>
      <sz val="16"/>
      <name val="Arial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2"/>
      <name val="Arial"/>
      <family val="2"/>
    </font>
    <font>
      <sz val="11"/>
      <name val="Calibri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sz val="20"/>
      <color indexed="12"/>
      <name val="Arial"/>
      <family val="2"/>
    </font>
    <font>
      <b/>
      <sz val="13"/>
      <name val="Arial"/>
      <family val="2"/>
    </font>
    <font>
      <sz val="10"/>
      <color indexed="13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medium"/>
      <right style="thick"/>
      <top style="thin"/>
      <bottom style="medium"/>
    </border>
    <border>
      <left style="thick"/>
      <right style="thick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</cellStyleXfs>
  <cellXfs count="1217">
    <xf numFmtId="0" fontId="0" fillId="0" borderId="0" xfId="0" applyAlignment="1">
      <alignment/>
    </xf>
    <xf numFmtId="0" fontId="1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64" applyFont="1" applyFill="1" applyBorder="1" applyAlignment="1">
      <alignment/>
    </xf>
    <xf numFmtId="171" fontId="2" fillId="0" borderId="0" xfId="64" applyFont="1" applyFill="1" applyBorder="1" applyAlignment="1">
      <alignment/>
    </xf>
    <xf numFmtId="0" fontId="17" fillId="0" borderId="0" xfId="53">
      <alignment/>
      <protection/>
    </xf>
    <xf numFmtId="0" fontId="4" fillId="0" borderId="13" xfId="56" applyFont="1" applyBorder="1" applyAlignment="1">
      <alignment/>
      <protection/>
    </xf>
    <xf numFmtId="0" fontId="5" fillId="0" borderId="14" xfId="56" applyFont="1" applyBorder="1" applyAlignment="1">
      <alignment/>
      <protection/>
    </xf>
    <xf numFmtId="0" fontId="3" fillId="0" borderId="14" xfId="56" applyFont="1" applyBorder="1" applyAlignment="1">
      <alignment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8" fillId="0" borderId="17" xfId="53" applyFont="1" applyFill="1" applyBorder="1" applyAlignment="1">
      <alignment horizontal="center" vertical="center" wrapText="1"/>
      <protection/>
    </xf>
    <xf numFmtId="0" fontId="18" fillId="0" borderId="18" xfId="53" applyFont="1" applyFill="1" applyBorder="1" applyAlignment="1">
      <alignment horizontal="center" vertical="center" wrapText="1"/>
      <protection/>
    </xf>
    <xf numFmtId="0" fontId="18" fillId="0" borderId="19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7" fillId="0" borderId="0" xfId="53" applyFill="1">
      <alignment/>
      <protection/>
    </xf>
    <xf numFmtId="178" fontId="17" fillId="0" borderId="0" xfId="53" applyNumberFormat="1" applyFill="1" applyBorder="1">
      <alignment/>
      <protection/>
    </xf>
    <xf numFmtId="2" fontId="17" fillId="0" borderId="0" xfId="53" applyNumberFormat="1" applyFill="1" applyBorder="1">
      <alignment/>
      <protection/>
    </xf>
    <xf numFmtId="2" fontId="17" fillId="0" borderId="23" xfId="53" applyNumberFormat="1" applyFill="1" applyBorder="1">
      <alignment/>
      <protection/>
    </xf>
    <xf numFmtId="2" fontId="17" fillId="0" borderId="24" xfId="53" applyNumberFormat="1" applyFill="1" applyBorder="1">
      <alignment/>
      <protection/>
    </xf>
    <xf numFmtId="2" fontId="17" fillId="0" borderId="22" xfId="53" applyNumberFormat="1" applyFill="1" applyBorder="1">
      <alignment/>
      <protection/>
    </xf>
    <xf numFmtId="2" fontId="17" fillId="0" borderId="19" xfId="53" applyNumberFormat="1" applyFill="1" applyBorder="1">
      <alignment/>
      <protection/>
    </xf>
    <xf numFmtId="2" fontId="17" fillId="0" borderId="25" xfId="53" applyNumberFormat="1" applyFill="1" applyBorder="1">
      <alignment/>
      <protection/>
    </xf>
    <xf numFmtId="2" fontId="17" fillId="0" borderId="26" xfId="53" applyNumberFormat="1" applyFill="1" applyBorder="1">
      <alignment/>
      <protection/>
    </xf>
    <xf numFmtId="2" fontId="17" fillId="0" borderId="27" xfId="53" applyNumberFormat="1" applyFill="1" applyBorder="1">
      <alignment/>
      <protection/>
    </xf>
    <xf numFmtId="2" fontId="17" fillId="0" borderId="23" xfId="53" applyNumberFormat="1" applyBorder="1">
      <alignment/>
      <protection/>
    </xf>
    <xf numFmtId="0" fontId="18" fillId="0" borderId="0" xfId="53" applyFont="1" applyFill="1" applyAlignment="1">
      <alignment horizontal="center" vertical="center"/>
      <protection/>
    </xf>
    <xf numFmtId="0" fontId="17" fillId="33" borderId="0" xfId="53" applyFill="1">
      <alignment/>
      <protection/>
    </xf>
    <xf numFmtId="0" fontId="30" fillId="0" borderId="0" xfId="53" applyFont="1">
      <alignment/>
      <protection/>
    </xf>
    <xf numFmtId="0" fontId="30" fillId="0" borderId="0" xfId="53" applyFont="1" applyBorder="1" applyAlignment="1">
      <alignment horizontal="center"/>
      <protection/>
    </xf>
    <xf numFmtId="2" fontId="30" fillId="0" borderId="0" xfId="53" applyNumberFormat="1" applyFont="1" applyBorder="1">
      <alignment/>
      <protection/>
    </xf>
    <xf numFmtId="2" fontId="30" fillId="0" borderId="28" xfId="53" applyNumberFormat="1" applyFont="1" applyBorder="1">
      <alignment/>
      <protection/>
    </xf>
    <xf numFmtId="0" fontId="17" fillId="0" borderId="29" xfId="53" applyBorder="1" applyAlignment="1">
      <alignment horizontal="center"/>
      <protection/>
    </xf>
    <xf numFmtId="2" fontId="30" fillId="0" borderId="12" xfId="53" applyNumberFormat="1" applyFont="1" applyBorder="1">
      <alignment/>
      <protection/>
    </xf>
    <xf numFmtId="0" fontId="17" fillId="0" borderId="30" xfId="53" applyBorder="1" applyAlignment="1">
      <alignment horizontal="center"/>
      <protection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181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171" fontId="15" fillId="0" borderId="0" xfId="64" applyFont="1" applyFill="1" applyBorder="1" applyAlignment="1">
      <alignment/>
    </xf>
    <xf numFmtId="2" fontId="33" fillId="33" borderId="12" xfId="53" applyNumberFormat="1" applyFont="1" applyFill="1" applyBorder="1">
      <alignment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2" fontId="33" fillId="33" borderId="12" xfId="57" applyNumberFormat="1" applyFont="1" applyFill="1" applyBorder="1">
      <alignment/>
      <protection/>
    </xf>
    <xf numFmtId="2" fontId="33" fillId="33" borderId="28" xfId="53" applyNumberFormat="1" applyFont="1" applyFill="1" applyBorder="1">
      <alignment/>
      <protection/>
    </xf>
    <xf numFmtId="0" fontId="30" fillId="0" borderId="32" xfId="53" applyFont="1" applyBorder="1" applyAlignment="1">
      <alignment horizontal="center"/>
      <protection/>
    </xf>
    <xf numFmtId="0" fontId="9" fillId="0" borderId="0" xfId="55" applyFont="1" applyFill="1">
      <alignment/>
      <protection/>
    </xf>
    <xf numFmtId="0" fontId="0" fillId="0" borderId="0" xfId="55" applyFill="1">
      <alignment/>
      <protection/>
    </xf>
    <xf numFmtId="0" fontId="10" fillId="0" borderId="0" xfId="55" applyFont="1">
      <alignment/>
      <protection/>
    </xf>
    <xf numFmtId="0" fontId="1" fillId="0" borderId="0" xfId="55" applyFont="1">
      <alignment/>
      <protection/>
    </xf>
    <xf numFmtId="0" fontId="9" fillId="0" borderId="0" xfId="55" applyFont="1">
      <alignment/>
      <protection/>
    </xf>
    <xf numFmtId="0" fontId="0" fillId="0" borderId="0" xfId="55">
      <alignment/>
      <protection/>
    </xf>
    <xf numFmtId="0" fontId="9" fillId="0" borderId="0" xfId="54" applyFont="1">
      <alignment/>
      <protection/>
    </xf>
    <xf numFmtId="0" fontId="0" fillId="35" borderId="33" xfId="54" applyFont="1" applyFill="1" applyBorder="1" applyAlignment="1">
      <alignment horizontal="center"/>
      <protection/>
    </xf>
    <xf numFmtId="0" fontId="0" fillId="35" borderId="14" xfId="54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2" fillId="0" borderId="16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4" fontId="2" fillId="0" borderId="22" xfId="54" applyNumberFormat="1" applyFont="1" applyBorder="1" applyAlignment="1">
      <alignment horizontal="center"/>
      <protection/>
    </xf>
    <xf numFmtId="4" fontId="0" fillId="36" borderId="34" xfId="54" applyNumberFormat="1" applyFont="1" applyFill="1" applyBorder="1" applyAlignment="1">
      <alignment horizontal="center"/>
      <protection/>
    </xf>
    <xf numFmtId="4" fontId="0" fillId="36" borderId="24" xfId="54" applyNumberFormat="1" applyFont="1" applyFill="1" applyBorder="1" applyAlignment="1">
      <alignment horizontal="center"/>
      <protection/>
    </xf>
    <xf numFmtId="0" fontId="9" fillId="0" borderId="35" xfId="54" applyFont="1" applyBorder="1" applyAlignment="1">
      <alignment horizontal="center"/>
      <protection/>
    </xf>
    <xf numFmtId="0" fontId="9" fillId="0" borderId="28" xfId="54" applyFont="1" applyBorder="1">
      <alignment/>
      <protection/>
    </xf>
    <xf numFmtId="4" fontId="0" fillId="0" borderId="29" xfId="54" applyNumberForma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36" xfId="54" applyBorder="1" applyAlignment="1">
      <alignment horizontal="center"/>
      <protection/>
    </xf>
    <xf numFmtId="0" fontId="0" fillId="0" borderId="12" xfId="54" applyBorder="1">
      <alignment/>
      <protection/>
    </xf>
    <xf numFmtId="10" fontId="0" fillId="0" borderId="30" xfId="59" applyNumberFormat="1" applyFill="1" applyBorder="1" applyAlignment="1">
      <alignment horizontal="center"/>
    </xf>
    <xf numFmtId="0" fontId="0" fillId="0" borderId="36" xfId="54" applyFont="1" applyBorder="1" applyAlignment="1">
      <alignment horizontal="center"/>
      <protection/>
    </xf>
    <xf numFmtId="0" fontId="9" fillId="0" borderId="23" xfId="54" applyFont="1" applyBorder="1" applyAlignment="1">
      <alignment horizontal="center"/>
      <protection/>
    </xf>
    <xf numFmtId="0" fontId="9" fillId="0" borderId="26" xfId="54" applyFont="1" applyBorder="1">
      <alignment/>
      <protection/>
    </xf>
    <xf numFmtId="10" fontId="9" fillId="0" borderId="27" xfId="59" applyNumberFormat="1" applyFont="1" applyFill="1" applyBorder="1" applyAlignment="1">
      <alignment horizontal="center"/>
    </xf>
    <xf numFmtId="10" fontId="0" fillId="0" borderId="29" xfId="59" applyNumberFormat="1" applyFill="1" applyBorder="1" applyAlignment="1">
      <alignment horizontal="center"/>
    </xf>
    <xf numFmtId="0" fontId="0" fillId="0" borderId="12" xfId="54" applyFont="1" applyBorder="1">
      <alignment/>
      <protection/>
    </xf>
    <xf numFmtId="0" fontId="0" fillId="0" borderId="37" xfId="54" applyFont="1" applyBorder="1" applyAlignment="1">
      <alignment horizontal="center"/>
      <protection/>
    </xf>
    <xf numFmtId="0" fontId="0" fillId="0" borderId="38" xfId="54" applyFont="1" applyBorder="1">
      <alignment/>
      <protection/>
    </xf>
    <xf numFmtId="10" fontId="0" fillId="0" borderId="0" xfId="54" applyNumberFormat="1">
      <alignment/>
      <protection/>
    </xf>
    <xf numFmtId="10" fontId="10" fillId="0" borderId="22" xfId="59" applyNumberFormat="1" applyFont="1" applyFill="1" applyBorder="1" applyAlignment="1">
      <alignment horizontal="center"/>
    </xf>
    <xf numFmtId="0" fontId="1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4" applyAlignment="1">
      <alignment horizontal="center"/>
      <protection/>
    </xf>
    <xf numFmtId="4" fontId="0" fillId="0" borderId="0" xfId="54" applyNumberFormat="1" applyAlignment="1">
      <alignment horizontal="center"/>
      <protection/>
    </xf>
    <xf numFmtId="0" fontId="8" fillId="0" borderId="0" xfId="54" applyFont="1">
      <alignment/>
      <protection/>
    </xf>
    <xf numFmtId="0" fontId="36" fillId="0" borderId="0" xfId="54" applyFont="1">
      <alignment/>
      <protection/>
    </xf>
    <xf numFmtId="0" fontId="37" fillId="0" borderId="0" xfId="0" applyFont="1" applyBorder="1" applyAlignment="1">
      <alignment/>
    </xf>
    <xf numFmtId="0" fontId="0" fillId="0" borderId="0" xfId="54" applyBorder="1">
      <alignment/>
      <protection/>
    </xf>
    <xf numFmtId="0" fontId="38" fillId="0" borderId="0" xfId="0" applyFont="1" applyBorder="1" applyAlignment="1">
      <alignment/>
    </xf>
    <xf numFmtId="179" fontId="33" fillId="33" borderId="12" xfId="53" applyNumberFormat="1" applyFont="1" applyFill="1" applyBorder="1" applyAlignment="1">
      <alignment horizontal="right"/>
      <protection/>
    </xf>
    <xf numFmtId="2" fontId="33" fillId="33" borderId="28" xfId="57" applyNumberFormat="1" applyFont="1" applyFill="1" applyBorder="1">
      <alignment/>
      <protection/>
    </xf>
    <xf numFmtId="2" fontId="33" fillId="33" borderId="29" xfId="57" applyNumberFormat="1" applyFont="1" applyFill="1" applyBorder="1">
      <alignment/>
      <protection/>
    </xf>
    <xf numFmtId="2" fontId="33" fillId="33" borderId="30" xfId="57" applyNumberFormat="1" applyFont="1" applyFill="1" applyBorder="1">
      <alignment/>
      <protection/>
    </xf>
    <xf numFmtId="179" fontId="33" fillId="33" borderId="36" xfId="53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2" fontId="30" fillId="0" borderId="12" xfId="53" applyNumberFormat="1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39" xfId="0" applyFont="1" applyFill="1" applyBorder="1" applyAlignment="1">
      <alignment/>
    </xf>
    <xf numFmtId="185" fontId="2" fillId="0" borderId="14" xfId="56" applyNumberFormat="1" applyFont="1" applyBorder="1" applyAlignment="1">
      <alignment horizontal="center"/>
      <protection/>
    </xf>
    <xf numFmtId="2" fontId="17" fillId="0" borderId="0" xfId="53" applyNumberFormat="1">
      <alignment/>
      <protection/>
    </xf>
    <xf numFmtId="170" fontId="31" fillId="0" borderId="0" xfId="47" applyFont="1" applyBorder="1" applyAlignment="1">
      <alignment/>
    </xf>
    <xf numFmtId="0" fontId="17" fillId="0" borderId="40" xfId="53" applyBorder="1" applyAlignment="1">
      <alignment horizontal="center"/>
      <protection/>
    </xf>
    <xf numFmtId="39" fontId="31" fillId="0" borderId="0" xfId="47" applyNumberFormat="1" applyFont="1" applyBorder="1" applyAlignment="1">
      <alignment/>
    </xf>
    <xf numFmtId="0" fontId="17" fillId="0" borderId="0" xfId="53" applyBorder="1">
      <alignment/>
      <protection/>
    </xf>
    <xf numFmtId="2" fontId="33" fillId="33" borderId="12" xfId="53" applyNumberFormat="1" applyFont="1" applyFill="1" applyBorder="1" applyAlignment="1">
      <alignment horizontal="right"/>
      <protection/>
    </xf>
    <xf numFmtId="2" fontId="33" fillId="33" borderId="28" xfId="53" applyNumberFormat="1" applyFont="1" applyFill="1" applyBorder="1" applyAlignment="1">
      <alignment horizontal="right"/>
      <protection/>
    </xf>
    <xf numFmtId="2" fontId="30" fillId="37" borderId="12" xfId="53" applyNumberFormat="1" applyFont="1" applyFill="1" applyBorder="1">
      <alignment/>
      <protection/>
    </xf>
    <xf numFmtId="2" fontId="30" fillId="38" borderId="12" xfId="53" applyNumberFormat="1" applyFont="1" applyFill="1" applyBorder="1">
      <alignment/>
      <protection/>
    </xf>
    <xf numFmtId="2" fontId="30" fillId="39" borderId="12" xfId="53" applyNumberFormat="1" applyFont="1" applyFill="1" applyBorder="1">
      <alignment/>
      <protection/>
    </xf>
    <xf numFmtId="2" fontId="30" fillId="40" borderId="12" xfId="53" applyNumberFormat="1" applyFont="1" applyFill="1" applyBorder="1">
      <alignment/>
      <protection/>
    </xf>
    <xf numFmtId="2" fontId="30" fillId="41" borderId="12" xfId="53" applyNumberFormat="1" applyFont="1" applyFill="1" applyBorder="1">
      <alignment/>
      <protection/>
    </xf>
    <xf numFmtId="2" fontId="30" fillId="36" borderId="12" xfId="53" applyNumberFormat="1" applyFont="1" applyFill="1" applyBorder="1">
      <alignment/>
      <protection/>
    </xf>
    <xf numFmtId="1" fontId="33" fillId="33" borderId="28" xfId="53" applyNumberFormat="1" applyFont="1" applyFill="1" applyBorder="1" applyAlignment="1">
      <alignment horizontal="center"/>
      <protection/>
    </xf>
    <xf numFmtId="1" fontId="33" fillId="33" borderId="12" xfId="53" applyNumberFormat="1" applyFont="1" applyFill="1" applyBorder="1" applyAlignment="1">
      <alignment horizontal="center"/>
      <protection/>
    </xf>
    <xf numFmtId="2" fontId="30" fillId="0" borderId="38" xfId="53" applyNumberFormat="1" applyFont="1" applyBorder="1">
      <alignment/>
      <protection/>
    </xf>
    <xf numFmtId="2" fontId="30" fillId="41" borderId="26" xfId="53" applyNumberFormat="1" applyFont="1" applyFill="1" applyBorder="1">
      <alignment/>
      <protection/>
    </xf>
    <xf numFmtId="179" fontId="33" fillId="33" borderId="28" xfId="53" applyNumberFormat="1" applyFont="1" applyFill="1" applyBorder="1" applyAlignment="1">
      <alignment horizontal="right"/>
      <protection/>
    </xf>
    <xf numFmtId="179" fontId="33" fillId="33" borderId="35" xfId="53" applyNumberFormat="1" applyFont="1" applyFill="1" applyBorder="1" applyAlignment="1">
      <alignment horizontal="right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7" fillId="37" borderId="29" xfId="53" applyFill="1" applyBorder="1" applyAlignment="1">
      <alignment horizontal="center"/>
      <protection/>
    </xf>
    <xf numFmtId="0" fontId="17" fillId="37" borderId="30" xfId="53" applyFill="1" applyBorder="1" applyAlignment="1">
      <alignment horizontal="center"/>
      <protection/>
    </xf>
    <xf numFmtId="0" fontId="17" fillId="38" borderId="30" xfId="53" applyFill="1" applyBorder="1" applyAlignment="1">
      <alignment horizontal="center"/>
      <protection/>
    </xf>
    <xf numFmtId="0" fontId="17" fillId="39" borderId="30" xfId="53" applyFill="1" applyBorder="1" applyAlignment="1">
      <alignment horizontal="center"/>
      <protection/>
    </xf>
    <xf numFmtId="0" fontId="17" fillId="40" borderId="30" xfId="53" applyFill="1" applyBorder="1" applyAlignment="1">
      <alignment horizontal="center"/>
      <protection/>
    </xf>
    <xf numFmtId="0" fontId="17" fillId="41" borderId="30" xfId="53" applyFill="1" applyBorder="1" applyAlignment="1">
      <alignment horizontal="center"/>
      <protection/>
    </xf>
    <xf numFmtId="0" fontId="17" fillId="36" borderId="30" xfId="53" applyFill="1" applyBorder="1" applyAlignment="1">
      <alignment horizontal="center"/>
      <protection/>
    </xf>
    <xf numFmtId="0" fontId="17" fillId="41" borderId="27" xfId="53" applyFill="1" applyBorder="1" applyAlignment="1">
      <alignment horizontal="center"/>
      <protection/>
    </xf>
    <xf numFmtId="2" fontId="30" fillId="41" borderId="38" xfId="53" applyNumberFormat="1" applyFont="1" applyFill="1" applyBorder="1">
      <alignment/>
      <protection/>
    </xf>
    <xf numFmtId="0" fontId="17" fillId="41" borderId="40" xfId="53" applyFill="1" applyBorder="1" applyAlignment="1">
      <alignment horizontal="center"/>
      <protection/>
    </xf>
    <xf numFmtId="39" fontId="31" fillId="0" borderId="41" xfId="47" applyNumberFormat="1" applyFont="1" applyBorder="1" applyAlignment="1">
      <alignment/>
    </xf>
    <xf numFmtId="39" fontId="31" fillId="0" borderId="42" xfId="47" applyNumberFormat="1" applyFont="1" applyBorder="1" applyAlignment="1">
      <alignment/>
    </xf>
    <xf numFmtId="39" fontId="31" fillId="0" borderId="43" xfId="47" applyNumberFormat="1" applyFont="1" applyBorder="1" applyAlignment="1">
      <alignment/>
    </xf>
    <xf numFmtId="39" fontId="31" fillId="0" borderId="44" xfId="47" applyNumberFormat="1" applyFont="1" applyBorder="1" applyAlignment="1">
      <alignment/>
    </xf>
    <xf numFmtId="4" fontId="30" fillId="37" borderId="28" xfId="53" applyNumberFormat="1" applyFont="1" applyFill="1" applyBorder="1">
      <alignment/>
      <protection/>
    </xf>
    <xf numFmtId="39" fontId="31" fillId="0" borderId="45" xfId="47" applyNumberFormat="1" applyFont="1" applyBorder="1" applyAlignment="1">
      <alignment/>
    </xf>
    <xf numFmtId="39" fontId="31" fillId="0" borderId="46" xfId="47" applyNumberFormat="1" applyFont="1" applyBorder="1" applyAlignment="1">
      <alignment/>
    </xf>
    <xf numFmtId="0" fontId="30" fillId="0" borderId="47" xfId="53" applyFont="1" applyBorder="1" applyAlignment="1">
      <alignment/>
      <protection/>
    </xf>
    <xf numFmtId="0" fontId="30" fillId="0" borderId="17" xfId="53" applyFont="1" applyBorder="1" applyAlignment="1">
      <alignment/>
      <protection/>
    </xf>
    <xf numFmtId="0" fontId="30" fillId="0" borderId="48" xfId="53" applyFont="1" applyBorder="1" applyAlignment="1">
      <alignment/>
      <protection/>
    </xf>
    <xf numFmtId="0" fontId="30" fillId="0" borderId="24" xfId="53" applyFont="1" applyBorder="1" applyAlignment="1">
      <alignment/>
      <protection/>
    </xf>
    <xf numFmtId="0" fontId="30" fillId="0" borderId="49" xfId="53" applyFont="1" applyBorder="1" applyAlignment="1">
      <alignment/>
      <protection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171" fontId="4" fillId="3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1" fontId="4" fillId="33" borderId="0" xfId="0" applyNumberFormat="1" applyFont="1" applyFill="1" applyBorder="1" applyAlignment="1">
      <alignment horizontal="right"/>
    </xf>
    <xf numFmtId="171" fontId="4" fillId="33" borderId="0" xfId="0" applyNumberFormat="1" applyFont="1" applyFill="1" applyBorder="1" applyAlignment="1">
      <alignment horizontal="center"/>
    </xf>
    <xf numFmtId="0" fontId="18" fillId="0" borderId="47" xfId="53" applyFont="1" applyFill="1" applyBorder="1" applyAlignment="1">
      <alignment horizontal="center" vertical="center"/>
      <protection/>
    </xf>
    <xf numFmtId="0" fontId="18" fillId="0" borderId="17" xfId="53" applyFont="1" applyFill="1" applyBorder="1" applyAlignment="1">
      <alignment horizontal="center" vertical="center"/>
      <protection/>
    </xf>
    <xf numFmtId="0" fontId="18" fillId="0" borderId="48" xfId="53" applyFont="1" applyFill="1" applyBorder="1" applyAlignment="1">
      <alignment horizontal="center" vertical="center"/>
      <protection/>
    </xf>
    <xf numFmtId="0" fontId="17" fillId="33" borderId="0" xfId="53" applyFill="1" applyBorder="1">
      <alignment/>
      <protection/>
    </xf>
    <xf numFmtId="0" fontId="17" fillId="33" borderId="52" xfId="53" applyFill="1" applyBorder="1">
      <alignment/>
      <protection/>
    </xf>
    <xf numFmtId="0" fontId="30" fillId="0" borderId="53" xfId="53" applyFont="1" applyBorder="1">
      <alignment/>
      <protection/>
    </xf>
    <xf numFmtId="0" fontId="30" fillId="0" borderId="24" xfId="53" applyFont="1" applyBorder="1">
      <alignment/>
      <protection/>
    </xf>
    <xf numFmtId="0" fontId="30" fillId="0" borderId="49" xfId="53" applyFont="1" applyBorder="1">
      <alignment/>
      <protection/>
    </xf>
    <xf numFmtId="170" fontId="93" fillId="0" borderId="12" xfId="0" applyNumberFormat="1" applyFont="1" applyBorder="1" applyAlignment="1">
      <alignment/>
    </xf>
    <xf numFmtId="0" fontId="21" fillId="42" borderId="0" xfId="0" applyFont="1" applyFill="1" applyBorder="1" applyAlignment="1">
      <alignment/>
    </xf>
    <xf numFmtId="0" fontId="0" fillId="42" borderId="0" xfId="0" applyFill="1" applyAlignment="1">
      <alignment/>
    </xf>
    <xf numFmtId="4" fontId="0" fillId="42" borderId="0" xfId="0" applyNumberFormat="1" applyFont="1" applyFill="1" applyAlignment="1">
      <alignment/>
    </xf>
    <xf numFmtId="4" fontId="0" fillId="42" borderId="0" xfId="0" applyNumberFormat="1" applyFill="1" applyAlignment="1">
      <alignment/>
    </xf>
    <xf numFmtId="4" fontId="13" fillId="42" borderId="0" xfId="0" applyNumberFormat="1" applyFont="1" applyFill="1" applyAlignment="1">
      <alignment/>
    </xf>
    <xf numFmtId="0" fontId="39" fillId="42" borderId="0" xfId="0" applyFont="1" applyFill="1" applyBorder="1" applyAlignment="1">
      <alignment/>
    </xf>
    <xf numFmtId="0" fontId="12" fillId="42" borderId="54" xfId="0" applyFont="1" applyFill="1" applyBorder="1" applyAlignment="1">
      <alignment horizontal="left"/>
    </xf>
    <xf numFmtId="0" fontId="12" fillId="42" borderId="0" xfId="0" applyFont="1" applyFill="1" applyBorder="1" applyAlignment="1">
      <alignment/>
    </xf>
    <xf numFmtId="181" fontId="2" fillId="42" borderId="0" xfId="0" applyNumberFormat="1" applyFont="1" applyFill="1" applyBorder="1" applyAlignment="1">
      <alignment/>
    </xf>
    <xf numFmtId="0" fontId="12" fillId="42" borderId="52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1" fillId="42" borderId="0" xfId="0" applyFont="1" applyFill="1" applyBorder="1" applyAlignment="1">
      <alignment/>
    </xf>
    <xf numFmtId="0" fontId="23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4" fontId="0" fillId="42" borderId="0" xfId="0" applyNumberFormat="1" applyFont="1" applyFill="1" applyAlignment="1">
      <alignment/>
    </xf>
    <xf numFmtId="2" fontId="4" fillId="42" borderId="28" xfId="0" applyNumberFormat="1" applyFont="1" applyFill="1" applyBorder="1" applyAlignment="1">
      <alignment horizontal="right"/>
    </xf>
    <xf numFmtId="4" fontId="16" fillId="42" borderId="0" xfId="0" applyNumberFormat="1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right"/>
    </xf>
    <xf numFmtId="171" fontId="4" fillId="42" borderId="0" xfId="0" applyNumberFormat="1" applyFont="1" applyFill="1" applyBorder="1" applyAlignment="1">
      <alignment/>
    </xf>
    <xf numFmtId="171" fontId="4" fillId="42" borderId="26" xfId="0" applyNumberFormat="1" applyFont="1" applyFill="1" applyBorder="1" applyAlignment="1">
      <alignment horizontal="right"/>
    </xf>
    <xf numFmtId="0" fontId="2" fillId="42" borderId="0" xfId="0" applyFont="1" applyFill="1" applyAlignment="1">
      <alignment/>
    </xf>
    <xf numFmtId="4" fontId="2" fillId="42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" fontId="14" fillId="42" borderId="0" xfId="0" applyNumberFormat="1" applyFont="1" applyFill="1" applyAlignment="1">
      <alignment/>
    </xf>
    <xf numFmtId="171" fontId="4" fillId="42" borderId="12" xfId="0" applyNumberFormat="1" applyFont="1" applyFill="1" applyBorder="1" applyAlignment="1">
      <alignment horizontal="right"/>
    </xf>
    <xf numFmtId="8" fontId="0" fillId="42" borderId="0" xfId="0" applyNumberFormat="1" applyFont="1" applyFill="1" applyAlignment="1">
      <alignment/>
    </xf>
    <xf numFmtId="43" fontId="0" fillId="42" borderId="0" xfId="0" applyNumberFormat="1" applyFont="1" applyFill="1" applyAlignment="1">
      <alignment/>
    </xf>
    <xf numFmtId="49" fontId="1" fillId="42" borderId="0" xfId="0" applyNumberFormat="1" applyFont="1" applyFill="1" applyBorder="1" applyAlignment="1">
      <alignment horizontal="center"/>
    </xf>
    <xf numFmtId="171" fontId="4" fillId="42" borderId="0" xfId="0" applyNumberFormat="1" applyFont="1" applyFill="1" applyBorder="1" applyAlignment="1">
      <alignment horizontal="left"/>
    </xf>
    <xf numFmtId="0" fontId="1" fillId="42" borderId="0" xfId="0" applyFont="1" applyFill="1" applyBorder="1" applyAlignment="1">
      <alignment horizontal="center"/>
    </xf>
    <xf numFmtId="171" fontId="4" fillId="42" borderId="0" xfId="0" applyNumberFormat="1" applyFont="1" applyFill="1" applyBorder="1" applyAlignment="1">
      <alignment horizontal="right"/>
    </xf>
    <xf numFmtId="171" fontId="4" fillId="42" borderId="0" xfId="0" applyNumberFormat="1" applyFont="1" applyFill="1" applyBorder="1" applyAlignment="1">
      <alignment horizontal="center"/>
    </xf>
    <xf numFmtId="0" fontId="25" fillId="42" borderId="0" xfId="0" applyFont="1" applyFill="1" applyBorder="1" applyAlignment="1">
      <alignment/>
    </xf>
    <xf numFmtId="0" fontId="34" fillId="42" borderId="0" xfId="0" applyFont="1" applyFill="1" applyBorder="1" applyAlignment="1">
      <alignment vertical="center" wrapText="1"/>
    </xf>
    <xf numFmtId="0" fontId="38" fillId="42" borderId="38" xfId="0" applyFont="1" applyFill="1" applyBorder="1" applyAlignment="1">
      <alignment/>
    </xf>
    <xf numFmtId="0" fontId="35" fillId="42" borderId="0" xfId="0" applyFont="1" applyFill="1" applyBorder="1" applyAlignment="1">
      <alignment/>
    </xf>
    <xf numFmtId="0" fontId="12" fillId="42" borderId="55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40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2" fillId="42" borderId="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4" fontId="30" fillId="43" borderId="55" xfId="53" applyNumberFormat="1" applyFont="1" applyFill="1" applyBorder="1">
      <alignment/>
      <protection/>
    </xf>
    <xf numFmtId="0" fontId="17" fillId="43" borderId="56" xfId="53" applyFill="1" applyBorder="1" applyAlignment="1">
      <alignment horizontal="center"/>
      <protection/>
    </xf>
    <xf numFmtId="2" fontId="30" fillId="43" borderId="12" xfId="53" applyNumberFormat="1" applyFont="1" applyFill="1" applyBorder="1">
      <alignment/>
      <protection/>
    </xf>
    <xf numFmtId="0" fontId="17" fillId="43" borderId="30" xfId="53" applyFill="1" applyBorder="1" applyAlignment="1">
      <alignment horizontal="center"/>
      <protection/>
    </xf>
    <xf numFmtId="4" fontId="30" fillId="43" borderId="28" xfId="53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9" fontId="31" fillId="0" borderId="29" xfId="47" applyNumberFormat="1" applyFont="1" applyBorder="1" applyAlignment="1">
      <alignment/>
    </xf>
    <xf numFmtId="39" fontId="31" fillId="0" borderId="27" xfId="47" applyNumberFormat="1" applyFont="1" applyBorder="1" applyAlignment="1">
      <alignment/>
    </xf>
    <xf numFmtId="0" fontId="0" fillId="0" borderId="12" xfId="0" applyFont="1" applyBorder="1" applyAlignment="1">
      <alignment/>
    </xf>
    <xf numFmtId="171" fontId="4" fillId="0" borderId="12" xfId="0" applyNumberFormat="1" applyFont="1" applyFill="1" applyBorder="1" applyAlignment="1">
      <alignment horizontal="right"/>
    </xf>
    <xf numFmtId="171" fontId="2" fillId="0" borderId="28" xfId="0" applyNumberFormat="1" applyFont="1" applyFill="1" applyBorder="1" applyAlignment="1">
      <alignment horizontal="right"/>
    </xf>
    <xf numFmtId="170" fontId="0" fillId="0" borderId="12" xfId="0" applyNumberFormat="1" applyFont="1" applyBorder="1" applyAlignment="1">
      <alignment/>
    </xf>
    <xf numFmtId="0" fontId="0" fillId="44" borderId="12" xfId="0" applyFont="1" applyFill="1" applyBorder="1" applyAlignment="1">
      <alignment horizontal="center"/>
    </xf>
    <xf numFmtId="0" fontId="0" fillId="44" borderId="12" xfId="0" applyFill="1" applyBorder="1" applyAlignment="1">
      <alignment/>
    </xf>
    <xf numFmtId="0" fontId="0" fillId="44" borderId="12" xfId="0" applyFill="1" applyBorder="1" applyAlignment="1">
      <alignment horizontal="center"/>
    </xf>
    <xf numFmtId="170" fontId="0" fillId="44" borderId="12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4" borderId="0" xfId="0" applyFill="1" applyAlignment="1">
      <alignment/>
    </xf>
    <xf numFmtId="171" fontId="1" fillId="0" borderId="43" xfId="0" applyNumberFormat="1" applyFont="1" applyFill="1" applyBorder="1" applyAlignment="1">
      <alignment horizontal="center" vertical="center"/>
    </xf>
    <xf numFmtId="0" fontId="0" fillId="0" borderId="0" xfId="52">
      <alignment/>
      <protection/>
    </xf>
    <xf numFmtId="2" fontId="9" fillId="33" borderId="33" xfId="52" applyNumberFormat="1" applyFont="1" applyFill="1" applyBorder="1">
      <alignment/>
      <protection/>
    </xf>
    <xf numFmtId="0" fontId="0" fillId="0" borderId="12" xfId="52" applyBorder="1">
      <alignment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4" fillId="0" borderId="13" xfId="52" applyFont="1" applyBorder="1" applyAlignment="1">
      <alignment/>
      <protection/>
    </xf>
    <xf numFmtId="0" fontId="5" fillId="0" borderId="14" xfId="52" applyFont="1" applyBorder="1" applyAlignment="1">
      <alignment/>
      <protection/>
    </xf>
    <xf numFmtId="0" fontId="3" fillId="0" borderId="14" xfId="52" applyFont="1" applyBorder="1" applyAlignment="1">
      <alignment/>
      <protection/>
    </xf>
    <xf numFmtId="0" fontId="0" fillId="45" borderId="0" xfId="52" applyFill="1" applyBorder="1">
      <alignment/>
      <protection/>
    </xf>
    <xf numFmtId="0" fontId="10" fillId="0" borderId="48" xfId="52" applyFont="1" applyFill="1" applyBorder="1" applyAlignment="1">
      <alignment horizontal="center" vertical="center" wrapText="1"/>
      <protection/>
    </xf>
    <xf numFmtId="0" fontId="1" fillId="33" borderId="0" xfId="52" applyFont="1" applyFill="1" applyBorder="1">
      <alignment/>
      <protection/>
    </xf>
    <xf numFmtId="0" fontId="24" fillId="45" borderId="0" xfId="52" applyFont="1" applyFill="1" applyBorder="1">
      <alignment/>
      <protection/>
    </xf>
    <xf numFmtId="0" fontId="10" fillId="0" borderId="23" xfId="52" applyFont="1" applyFill="1" applyBorder="1" applyAlignment="1">
      <alignment horizontal="center" vertical="center" wrapText="1"/>
      <protection/>
    </xf>
    <xf numFmtId="0" fontId="10" fillId="0" borderId="27" xfId="52" applyFont="1" applyFill="1" applyBorder="1" applyAlignment="1">
      <alignment horizontal="center" vertical="center" wrapText="1"/>
      <protection/>
    </xf>
    <xf numFmtId="0" fontId="10" fillId="0" borderId="49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25" fillId="40" borderId="0" xfId="52" applyFont="1" applyFill="1" applyBorder="1">
      <alignment/>
      <protection/>
    </xf>
    <xf numFmtId="0" fontId="0" fillId="46" borderId="0" xfId="52" applyFill="1" applyBorder="1">
      <alignment/>
      <protection/>
    </xf>
    <xf numFmtId="179" fontId="1" fillId="33" borderId="57" xfId="52" applyNumberFormat="1" applyFont="1" applyFill="1" applyBorder="1" applyAlignment="1">
      <alignment horizontal="center" vertical="top" wrapText="1"/>
      <protection/>
    </xf>
    <xf numFmtId="179" fontId="1" fillId="33" borderId="12" xfId="52" applyNumberFormat="1" applyFont="1" applyFill="1" applyBorder="1" applyAlignment="1">
      <alignment horizontal="center" vertical="top" wrapText="1"/>
      <protection/>
    </xf>
    <xf numFmtId="176" fontId="1" fillId="33" borderId="12" xfId="52" applyNumberFormat="1" applyFont="1" applyFill="1" applyBorder="1" applyAlignment="1">
      <alignment horizontal="center" vertical="top" wrapText="1"/>
      <protection/>
    </xf>
    <xf numFmtId="173" fontId="1" fillId="33" borderId="12" xfId="52" applyNumberFormat="1" applyFont="1" applyFill="1" applyBorder="1" applyAlignment="1">
      <alignment horizontal="center" vertical="top" wrapText="1"/>
      <protection/>
    </xf>
    <xf numFmtId="39" fontId="1" fillId="33" borderId="12" xfId="52" applyNumberFormat="1" applyFont="1" applyFill="1" applyBorder="1" applyAlignment="1">
      <alignment horizontal="center" vertical="top" wrapText="1"/>
      <protection/>
    </xf>
    <xf numFmtId="2" fontId="1" fillId="33" borderId="12" xfId="52" applyNumberFormat="1" applyFont="1" applyFill="1" applyBorder="1" applyAlignment="1">
      <alignment horizontal="center" vertical="top" wrapText="1"/>
      <protection/>
    </xf>
    <xf numFmtId="175" fontId="1" fillId="33" borderId="55" xfId="52" applyNumberFormat="1" applyFont="1" applyFill="1" applyBorder="1" applyAlignment="1">
      <alignment horizontal="center" vertical="top" wrapText="1"/>
      <protection/>
    </xf>
    <xf numFmtId="172" fontId="1" fillId="33" borderId="55" xfId="52" applyNumberFormat="1" applyFont="1" applyFill="1" applyBorder="1" applyAlignment="1">
      <alignment horizontal="center" vertical="top" wrapText="1"/>
      <protection/>
    </xf>
    <xf numFmtId="173" fontId="1" fillId="33" borderId="55" xfId="52" applyNumberFormat="1" applyFont="1" applyFill="1" applyBorder="1" applyAlignment="1">
      <alignment horizontal="center" vertical="top" wrapText="1"/>
      <protection/>
    </xf>
    <xf numFmtId="0" fontId="1" fillId="33" borderId="55" xfId="52" applyFont="1" applyFill="1" applyBorder="1" applyAlignment="1">
      <alignment horizontal="center" vertical="top" wrapText="1"/>
      <protection/>
    </xf>
    <xf numFmtId="177" fontId="1" fillId="33" borderId="55" xfId="52" applyNumberFormat="1" applyFont="1" applyFill="1" applyBorder="1" applyAlignment="1">
      <alignment horizontal="center" vertical="top" wrapText="1"/>
      <protection/>
    </xf>
    <xf numFmtId="4" fontId="10" fillId="33" borderId="56" xfId="52" applyNumberFormat="1" applyFont="1" applyFill="1" applyBorder="1" applyAlignment="1">
      <alignment horizontal="center" vertical="top" wrapText="1"/>
      <protection/>
    </xf>
    <xf numFmtId="0" fontId="25" fillId="33" borderId="0" xfId="52" applyFont="1" applyFill="1" applyBorder="1">
      <alignment/>
      <protection/>
    </xf>
    <xf numFmtId="0" fontId="26" fillId="33" borderId="0" xfId="52" applyFont="1" applyFill="1" applyBorder="1">
      <alignment/>
      <protection/>
    </xf>
    <xf numFmtId="179" fontId="1" fillId="33" borderId="57" xfId="52" applyNumberFormat="1" applyFont="1" applyFill="1" applyBorder="1" applyAlignment="1">
      <alignment horizontal="center" vertical="center" wrapText="1"/>
      <protection/>
    </xf>
    <xf numFmtId="179" fontId="1" fillId="33" borderId="12" xfId="52" applyNumberFormat="1" applyFont="1" applyFill="1" applyBorder="1" applyAlignment="1">
      <alignment horizontal="center" vertical="center" wrapText="1"/>
      <protection/>
    </xf>
    <xf numFmtId="176" fontId="1" fillId="33" borderId="12" xfId="52" applyNumberFormat="1" applyFont="1" applyFill="1" applyBorder="1" applyAlignment="1">
      <alignment horizontal="center" vertical="center" wrapText="1"/>
      <protection/>
    </xf>
    <xf numFmtId="173" fontId="1" fillId="33" borderId="12" xfId="52" applyNumberFormat="1" applyFont="1" applyFill="1" applyBorder="1" applyAlignment="1">
      <alignment horizontal="center" vertical="center" wrapText="1"/>
      <protection/>
    </xf>
    <xf numFmtId="39" fontId="1" fillId="33" borderId="12" xfId="52" applyNumberFormat="1" applyFont="1" applyFill="1" applyBorder="1" applyAlignment="1">
      <alignment horizontal="center" vertical="center" wrapText="1"/>
      <protection/>
    </xf>
    <xf numFmtId="2" fontId="1" fillId="33" borderId="12" xfId="52" applyNumberFormat="1" applyFont="1" applyFill="1" applyBorder="1" applyAlignment="1">
      <alignment horizontal="center" vertical="center" wrapText="1"/>
      <protection/>
    </xf>
    <xf numFmtId="179" fontId="1" fillId="0" borderId="12" xfId="52" applyNumberFormat="1" applyFont="1" applyFill="1" applyBorder="1" applyAlignment="1">
      <alignment horizontal="center" vertical="top" wrapText="1"/>
      <protection/>
    </xf>
    <xf numFmtId="173" fontId="1" fillId="0" borderId="12" xfId="52" applyNumberFormat="1" applyFont="1" applyFill="1" applyBorder="1" applyAlignment="1">
      <alignment horizontal="center" vertical="top" wrapText="1"/>
      <protection/>
    </xf>
    <xf numFmtId="0" fontId="26" fillId="0" borderId="0" xfId="52" applyFont="1" applyFill="1" applyBorder="1">
      <alignment/>
      <protection/>
    </xf>
    <xf numFmtId="179" fontId="1" fillId="33" borderId="36" xfId="52" applyNumberFormat="1" applyFont="1" applyFill="1" applyBorder="1" applyAlignment="1">
      <alignment horizontal="center" vertical="top" wrapText="1"/>
      <protection/>
    </xf>
    <xf numFmtId="179" fontId="1" fillId="0" borderId="36" xfId="52" applyNumberFormat="1" applyFont="1" applyFill="1" applyBorder="1" applyAlignment="1">
      <alignment horizontal="center" vertical="top" wrapText="1"/>
      <protection/>
    </xf>
    <xf numFmtId="176" fontId="1" fillId="0" borderId="12" xfId="52" applyNumberFormat="1" applyFont="1" applyFill="1" applyBorder="1" applyAlignment="1">
      <alignment horizontal="center" vertical="top" wrapText="1"/>
      <protection/>
    </xf>
    <xf numFmtId="39" fontId="1" fillId="0" borderId="12" xfId="52" applyNumberFormat="1" applyFont="1" applyFill="1" applyBorder="1" applyAlignment="1">
      <alignment horizontal="center" vertical="top" wrapText="1"/>
      <protection/>
    </xf>
    <xf numFmtId="2" fontId="1" fillId="0" borderId="12" xfId="52" applyNumberFormat="1" applyFont="1" applyFill="1" applyBorder="1" applyAlignment="1">
      <alignment horizontal="center" vertical="top" wrapText="1"/>
      <protection/>
    </xf>
    <xf numFmtId="172" fontId="1" fillId="0" borderId="55" xfId="52" applyNumberFormat="1" applyFont="1" applyFill="1" applyBorder="1" applyAlignment="1">
      <alignment horizontal="center" vertical="top" wrapText="1"/>
      <protection/>
    </xf>
    <xf numFmtId="0" fontId="0" fillId="33" borderId="58" xfId="52" applyFont="1" applyFill="1" applyBorder="1" applyAlignment="1">
      <alignment horizontal="left"/>
      <protection/>
    </xf>
    <xf numFmtId="0" fontId="0" fillId="33" borderId="59" xfId="52" applyFont="1" applyFill="1" applyBorder="1" applyAlignment="1">
      <alignment horizontal="left"/>
      <protection/>
    </xf>
    <xf numFmtId="0" fontId="0" fillId="33" borderId="60" xfId="52" applyFill="1" applyBorder="1" applyAlignment="1">
      <alignment horizontal="center"/>
      <protection/>
    </xf>
    <xf numFmtId="0" fontId="0" fillId="33" borderId="58" xfId="52" applyFill="1" applyBorder="1" applyAlignment="1">
      <alignment horizontal="left"/>
      <protection/>
    </xf>
    <xf numFmtId="0" fontId="0" fillId="33" borderId="59" xfId="52" applyFill="1" applyBorder="1" applyAlignment="1">
      <alignment horizontal="center"/>
      <protection/>
    </xf>
    <xf numFmtId="0" fontId="0" fillId="33" borderId="61" xfId="52" applyFill="1" applyBorder="1" applyAlignment="1">
      <alignment horizontal="center"/>
      <protection/>
    </xf>
    <xf numFmtId="0" fontId="9" fillId="33" borderId="62" xfId="52" applyFont="1" applyFill="1" applyBorder="1">
      <alignment/>
      <protection/>
    </xf>
    <xf numFmtId="0" fontId="9" fillId="33" borderId="63" xfId="52" applyNumberFormat="1" applyFont="1" applyFill="1" applyBorder="1" applyAlignment="1">
      <alignment horizontal="center"/>
      <protection/>
    </xf>
    <xf numFmtId="0" fontId="9" fillId="33" borderId="64" xfId="52" applyFont="1" applyFill="1" applyBorder="1" applyAlignment="1">
      <alignment horizontal="left"/>
      <protection/>
    </xf>
    <xf numFmtId="0" fontId="0" fillId="0" borderId="65" xfId="52" applyBorder="1">
      <alignment/>
      <protection/>
    </xf>
    <xf numFmtId="0" fontId="0" fillId="0" borderId="63" xfId="52" applyBorder="1">
      <alignment/>
      <protection/>
    </xf>
    <xf numFmtId="0" fontId="4" fillId="33" borderId="64" xfId="52" applyNumberFormat="1" applyFont="1" applyFill="1" applyBorder="1" applyAlignment="1">
      <alignment/>
      <protection/>
    </xf>
    <xf numFmtId="0" fontId="4" fillId="33" borderId="65" xfId="52" applyNumberFormat="1" applyFont="1" applyFill="1" applyBorder="1" applyAlignment="1">
      <alignment/>
      <protection/>
    </xf>
    <xf numFmtId="0" fontId="0" fillId="33" borderId="63" xfId="52" applyFill="1" applyBorder="1" applyAlignment="1">
      <alignment horizontal="right"/>
      <protection/>
    </xf>
    <xf numFmtId="173" fontId="0" fillId="33" borderId="63" xfId="52" applyNumberFormat="1" applyFill="1" applyBorder="1" applyAlignment="1">
      <alignment horizontal="center"/>
      <protection/>
    </xf>
    <xf numFmtId="0" fontId="0" fillId="33" borderId="64" xfId="52" applyFill="1" applyBorder="1" applyAlignment="1">
      <alignment horizontal="left"/>
      <protection/>
    </xf>
    <xf numFmtId="0" fontId="0" fillId="33" borderId="55" xfId="52" applyFill="1" applyBorder="1" applyAlignment="1">
      <alignment horizontal="center"/>
      <protection/>
    </xf>
    <xf numFmtId="0" fontId="9" fillId="33" borderId="50" xfId="52" applyFont="1" applyFill="1" applyBorder="1">
      <alignment/>
      <protection/>
    </xf>
    <xf numFmtId="0" fontId="9" fillId="33" borderId="0" xfId="52" applyNumberFormat="1" applyFont="1" applyFill="1" applyBorder="1" applyAlignment="1">
      <alignment horizontal="center"/>
      <protection/>
    </xf>
    <xf numFmtId="0" fontId="9" fillId="33" borderId="51" xfId="52" applyFont="1" applyFill="1" applyBorder="1" applyAlignment="1">
      <alignment horizontal="left"/>
      <protection/>
    </xf>
    <xf numFmtId="0" fontId="0" fillId="33" borderId="66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51" xfId="52" applyFill="1" applyBorder="1" applyAlignment="1">
      <alignment horizontal="right"/>
      <protection/>
    </xf>
    <xf numFmtId="0" fontId="4" fillId="33" borderId="66" xfId="52" applyNumberFormat="1" applyFont="1" applyFill="1" applyBorder="1" applyAlignment="1">
      <alignment horizontal="center"/>
      <protection/>
    </xf>
    <xf numFmtId="1" fontId="0" fillId="33" borderId="0" xfId="52" applyNumberFormat="1" applyFill="1" applyBorder="1" applyAlignment="1">
      <alignment horizontal="center"/>
      <protection/>
    </xf>
    <xf numFmtId="0" fontId="0" fillId="33" borderId="51" xfId="52" applyFill="1" applyBorder="1" applyAlignment="1">
      <alignment horizontal="left"/>
      <protection/>
    </xf>
    <xf numFmtId="0" fontId="0" fillId="33" borderId="12" xfId="52" applyFill="1" applyBorder="1" applyAlignment="1">
      <alignment horizontal="center"/>
      <protection/>
    </xf>
    <xf numFmtId="0" fontId="9" fillId="33" borderId="53" xfId="52" applyFont="1" applyFill="1" applyBorder="1">
      <alignment/>
      <protection/>
    </xf>
    <xf numFmtId="0" fontId="9" fillId="33" borderId="24" xfId="52" applyNumberFormat="1" applyFont="1" applyFill="1" applyBorder="1" applyAlignment="1">
      <alignment horizontal="center"/>
      <protection/>
    </xf>
    <xf numFmtId="0" fontId="9" fillId="33" borderId="67" xfId="52" applyFont="1" applyFill="1" applyBorder="1" applyAlignment="1">
      <alignment horizontal="left"/>
      <protection/>
    </xf>
    <xf numFmtId="0" fontId="0" fillId="33" borderId="68" xfId="52" applyFill="1" applyBorder="1" applyAlignment="1">
      <alignment horizontal="center"/>
      <protection/>
    </xf>
    <xf numFmtId="0" fontId="0" fillId="33" borderId="24" xfId="52" applyFill="1" applyBorder="1" applyAlignment="1">
      <alignment horizontal="center"/>
      <protection/>
    </xf>
    <xf numFmtId="0" fontId="0" fillId="33" borderId="67" xfId="52" applyFill="1" applyBorder="1" applyAlignment="1">
      <alignment horizontal="right"/>
      <protection/>
    </xf>
    <xf numFmtId="0" fontId="12" fillId="33" borderId="68" xfId="52" applyNumberFormat="1" applyFont="1" applyFill="1" applyBorder="1" applyAlignment="1">
      <alignment horizontal="right"/>
      <protection/>
    </xf>
    <xf numFmtId="0" fontId="0" fillId="33" borderId="67" xfId="52" applyFill="1" applyBorder="1" applyAlignment="1">
      <alignment horizontal="center"/>
      <protection/>
    </xf>
    <xf numFmtId="0" fontId="0" fillId="33" borderId="26" xfId="52" applyFill="1" applyBorder="1" applyAlignment="1">
      <alignment horizontal="center"/>
      <protection/>
    </xf>
    <xf numFmtId="49" fontId="0" fillId="33" borderId="42" xfId="52" applyNumberFormat="1" applyFill="1" applyBorder="1" applyAlignment="1">
      <alignment horizontal="left"/>
      <protection/>
    </xf>
    <xf numFmtId="0" fontId="0" fillId="33" borderId="69" xfId="52" applyFill="1" applyBorder="1" applyAlignment="1">
      <alignment horizontal="left"/>
      <protection/>
    </xf>
    <xf numFmtId="0" fontId="0" fillId="33" borderId="47" xfId="52" applyFill="1" applyBorder="1">
      <alignment/>
      <protection/>
    </xf>
    <xf numFmtId="0" fontId="4" fillId="33" borderId="17" xfId="52" applyNumberFormat="1" applyFont="1" applyFill="1" applyBorder="1" applyAlignment="1">
      <alignment horizontal="center"/>
      <protection/>
    </xf>
    <xf numFmtId="0" fontId="0" fillId="33" borderId="17" xfId="52" applyFill="1" applyBorder="1" applyAlignment="1">
      <alignment horizontal="center"/>
      <protection/>
    </xf>
    <xf numFmtId="0" fontId="0" fillId="33" borderId="48" xfId="52" applyFill="1" applyBorder="1" applyAlignment="1">
      <alignment horizontal="center"/>
      <protection/>
    </xf>
    <xf numFmtId="0" fontId="0" fillId="33" borderId="47" xfId="52" applyFill="1" applyBorder="1" applyAlignment="1">
      <alignment horizontal="left"/>
      <protection/>
    </xf>
    <xf numFmtId="0" fontId="0" fillId="33" borderId="50" xfId="52" applyFill="1" applyBorder="1">
      <alignment/>
      <protection/>
    </xf>
    <xf numFmtId="0" fontId="4" fillId="33" borderId="0" xfId="52" applyNumberFormat="1" applyFont="1" applyFill="1" applyBorder="1" applyAlignment="1">
      <alignment horizontal="center"/>
      <protection/>
    </xf>
    <xf numFmtId="0" fontId="0" fillId="33" borderId="52" xfId="52" applyFill="1" applyBorder="1" applyAlignment="1">
      <alignment horizontal="center"/>
      <protection/>
    </xf>
    <xf numFmtId="0" fontId="0" fillId="33" borderId="50" xfId="52" applyFill="1" applyBorder="1" applyAlignment="1">
      <alignment horizontal="center"/>
      <protection/>
    </xf>
    <xf numFmtId="0" fontId="2" fillId="33" borderId="0" xfId="52" applyFont="1" applyFill="1" applyBorder="1" applyAlignment="1">
      <alignment/>
      <protection/>
    </xf>
    <xf numFmtId="0" fontId="2" fillId="33" borderId="52" xfId="52" applyFont="1" applyFill="1" applyBorder="1" applyAlignment="1">
      <alignment/>
      <protection/>
    </xf>
    <xf numFmtId="0" fontId="0" fillId="33" borderId="53" xfId="52" applyFill="1" applyBorder="1">
      <alignment/>
      <protection/>
    </xf>
    <xf numFmtId="0" fontId="4" fillId="33" borderId="24" xfId="52" applyNumberFormat="1" applyFont="1" applyFill="1" applyBorder="1" applyAlignment="1">
      <alignment horizontal="center"/>
      <protection/>
    </xf>
    <xf numFmtId="0" fontId="0" fillId="33" borderId="24" xfId="52" applyFill="1" applyBorder="1" applyAlignment="1">
      <alignment horizontal="right"/>
      <protection/>
    </xf>
    <xf numFmtId="173" fontId="0" fillId="33" borderId="24" xfId="52" applyNumberFormat="1" applyFill="1" applyBorder="1" applyAlignment="1">
      <alignment horizontal="center"/>
      <protection/>
    </xf>
    <xf numFmtId="0" fontId="0" fillId="33" borderId="24" xfId="52" applyFill="1" applyBorder="1" applyAlignment="1">
      <alignment horizontal="left"/>
      <protection/>
    </xf>
    <xf numFmtId="0" fontId="0" fillId="33" borderId="24" xfId="52" applyFill="1" applyBorder="1" applyAlignment="1">
      <alignment/>
      <protection/>
    </xf>
    <xf numFmtId="0" fontId="0" fillId="33" borderId="49" xfId="52" applyFill="1" applyBorder="1" applyAlignment="1">
      <alignment/>
      <protection/>
    </xf>
    <xf numFmtId="0" fontId="4" fillId="42" borderId="12" xfId="0" applyFont="1" applyFill="1" applyBorder="1" applyAlignment="1">
      <alignment horizontal="center"/>
    </xf>
    <xf numFmtId="171" fontId="4" fillId="42" borderId="36" xfId="0" applyNumberFormat="1" applyFont="1" applyFill="1" applyBorder="1" applyAlignment="1">
      <alignment horizontal="center"/>
    </xf>
    <xf numFmtId="4" fontId="4" fillId="42" borderId="30" xfId="0" applyNumberFormat="1" applyFont="1" applyFill="1" applyBorder="1" applyAlignment="1">
      <alignment horizontal="center" vertical="center"/>
    </xf>
    <xf numFmtId="171" fontId="4" fillId="42" borderId="23" xfId="0" applyNumberFormat="1" applyFont="1" applyFill="1" applyBorder="1" applyAlignment="1">
      <alignment horizontal="center"/>
    </xf>
    <xf numFmtId="0" fontId="9" fillId="33" borderId="0" xfId="52" applyFont="1" applyFill="1">
      <alignment/>
      <protection/>
    </xf>
    <xf numFmtId="0" fontId="41" fillId="33" borderId="0" xfId="52" applyFont="1" applyFill="1">
      <alignment/>
      <protection/>
    </xf>
    <xf numFmtId="0" fontId="0" fillId="42" borderId="0" xfId="52" applyFont="1" applyFill="1">
      <alignment/>
      <protection/>
    </xf>
    <xf numFmtId="17" fontId="0" fillId="33" borderId="0" xfId="52" applyNumberFormat="1" applyFill="1" applyAlignment="1">
      <alignment horizontal="center"/>
      <protection/>
    </xf>
    <xf numFmtId="0" fontId="0" fillId="33" borderId="0" xfId="52" applyFill="1" applyAlignment="1">
      <alignment horizontal="center"/>
      <protection/>
    </xf>
    <xf numFmtId="4" fontId="0" fillId="33" borderId="63" xfId="52" applyNumberFormat="1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horizontal="center" vertical="center"/>
      <protection/>
    </xf>
    <xf numFmtId="4" fontId="0" fillId="33" borderId="51" xfId="52" applyNumberFormat="1" applyFill="1" applyBorder="1" applyAlignment="1">
      <alignment horizontal="center" vertical="center"/>
      <protection/>
    </xf>
    <xf numFmtId="0" fontId="0" fillId="33" borderId="66" xfId="52" applyFill="1" applyBorder="1" applyAlignment="1">
      <alignment horizontal="center" vertical="center"/>
      <protection/>
    </xf>
    <xf numFmtId="4" fontId="0" fillId="33" borderId="51" xfId="52" applyNumberFormat="1" applyFill="1" applyBorder="1" applyAlignment="1">
      <alignment horizontal="center"/>
      <protection/>
    </xf>
    <xf numFmtId="0" fontId="0" fillId="33" borderId="45" xfId="52" applyFill="1" applyBorder="1" applyAlignment="1">
      <alignment horizontal="center"/>
      <protection/>
    </xf>
    <xf numFmtId="0" fontId="0" fillId="33" borderId="70" xfId="52" applyFill="1" applyBorder="1" applyAlignment="1">
      <alignment horizontal="center"/>
      <protection/>
    </xf>
    <xf numFmtId="4" fontId="0" fillId="33" borderId="70" xfId="52" applyNumberFormat="1" applyFill="1" applyBorder="1" applyAlignment="1">
      <alignment horizontal="center"/>
      <protection/>
    </xf>
    <xf numFmtId="4" fontId="0" fillId="33" borderId="71" xfId="52" applyNumberFormat="1" applyFill="1" applyBorder="1" applyAlignment="1">
      <alignment horizontal="center"/>
      <protection/>
    </xf>
    <xf numFmtId="4" fontId="0" fillId="33" borderId="12" xfId="52" applyNumberFormat="1" applyFill="1" applyBorder="1" applyAlignment="1">
      <alignment horizontal="center"/>
      <protection/>
    </xf>
    <xf numFmtId="0" fontId="13" fillId="33" borderId="65" xfId="52" applyFont="1" applyFill="1" applyBorder="1" applyAlignment="1">
      <alignment horizontal="center" vertical="center"/>
      <protection/>
    </xf>
    <xf numFmtId="0" fontId="0" fillId="33" borderId="63" xfId="52" applyFont="1" applyFill="1" applyBorder="1" applyAlignment="1">
      <alignment vertical="center" wrapText="1"/>
      <protection/>
    </xf>
    <xf numFmtId="0" fontId="0" fillId="33" borderId="63" xfId="52" applyFont="1" applyFill="1" applyBorder="1" applyAlignment="1">
      <alignment horizontal="center" vertical="center"/>
      <protection/>
    </xf>
    <xf numFmtId="4" fontId="0" fillId="33" borderId="64" xfId="52" applyNumberFormat="1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vertical="center" wrapText="1"/>
      <protection/>
    </xf>
    <xf numFmtId="4" fontId="0" fillId="33" borderId="0" xfId="52" applyNumberFormat="1" applyFill="1" applyBorder="1" applyAlignment="1">
      <alignment horizontal="center" vertical="center"/>
      <protection/>
    </xf>
    <xf numFmtId="4" fontId="0" fillId="33" borderId="0" xfId="52" applyNumberFormat="1" applyFill="1" applyBorder="1" applyAlignment="1">
      <alignment horizontal="center"/>
      <protection/>
    </xf>
    <xf numFmtId="0" fontId="0" fillId="33" borderId="0" xfId="52" applyFill="1" applyBorder="1" applyAlignment="1">
      <alignment horizontal="left"/>
      <protection/>
    </xf>
    <xf numFmtId="0" fontId="0" fillId="33" borderId="45" xfId="52" applyFill="1" applyBorder="1" applyAlignment="1">
      <alignment horizontal="center" vertical="center"/>
      <protection/>
    </xf>
    <xf numFmtId="0" fontId="0" fillId="33" borderId="70" xfId="52" applyFill="1" applyBorder="1" applyAlignment="1">
      <alignment horizontal="left" vertical="center" wrapText="1"/>
      <protection/>
    </xf>
    <xf numFmtId="4" fontId="0" fillId="33" borderId="70" xfId="52" applyNumberFormat="1" applyFill="1" applyBorder="1" applyAlignment="1">
      <alignment horizontal="center" vertical="center"/>
      <protection/>
    </xf>
    <xf numFmtId="0" fontId="0" fillId="33" borderId="70" xfId="52" applyFill="1" applyBorder="1" applyAlignment="1">
      <alignment horizontal="center" vertical="center"/>
      <protection/>
    </xf>
    <xf numFmtId="4" fontId="0" fillId="33" borderId="71" xfId="52" applyNumberFormat="1" applyFill="1" applyBorder="1" applyAlignment="1">
      <alignment horizontal="center" vertical="center"/>
      <protection/>
    </xf>
    <xf numFmtId="0" fontId="13" fillId="33" borderId="0" xfId="52" applyFont="1" applyFill="1">
      <alignment/>
      <protection/>
    </xf>
    <xf numFmtId="0" fontId="3" fillId="42" borderId="50" xfId="0" applyFont="1" applyFill="1" applyBorder="1" applyAlignment="1">
      <alignment/>
    </xf>
    <xf numFmtId="0" fontId="12" fillId="42" borderId="47" xfId="0" applyFont="1" applyFill="1" applyBorder="1" applyAlignment="1">
      <alignment/>
    </xf>
    <xf numFmtId="181" fontId="2" fillId="42" borderId="19" xfId="0" applyNumberFormat="1" applyFont="1" applyFill="1" applyBorder="1" applyAlignment="1">
      <alignment horizontal="center"/>
    </xf>
    <xf numFmtId="0" fontId="3" fillId="42" borderId="0" xfId="0" applyFont="1" applyFill="1" applyBorder="1" applyAlignment="1">
      <alignment/>
    </xf>
    <xf numFmtId="10" fontId="9" fillId="42" borderId="72" xfId="0" applyNumberFormat="1" applyFont="1" applyFill="1" applyBorder="1" applyAlignment="1">
      <alignment horizontal="right"/>
    </xf>
    <xf numFmtId="10" fontId="9" fillId="42" borderId="69" xfId="0" applyNumberFormat="1" applyFont="1" applyFill="1" applyBorder="1" applyAlignment="1">
      <alignment horizontal="left"/>
    </xf>
    <xf numFmtId="4" fontId="30" fillId="0" borderId="34" xfId="53" applyNumberFormat="1" applyFont="1" applyBorder="1">
      <alignment/>
      <protection/>
    </xf>
    <xf numFmtId="179" fontId="33" fillId="33" borderId="23" xfId="53" applyNumberFormat="1" applyFont="1" applyFill="1" applyBorder="1" applyAlignment="1">
      <alignment horizontal="right"/>
      <protection/>
    </xf>
    <xf numFmtId="179" fontId="33" fillId="33" borderId="26" xfId="53" applyNumberFormat="1" applyFont="1" applyFill="1" applyBorder="1" applyAlignment="1">
      <alignment horizontal="right"/>
      <protection/>
    </xf>
    <xf numFmtId="1" fontId="33" fillId="33" borderId="26" xfId="53" applyNumberFormat="1" applyFont="1" applyFill="1" applyBorder="1" applyAlignment="1">
      <alignment horizontal="center"/>
      <protection/>
    </xf>
    <xf numFmtId="2" fontId="33" fillId="33" borderId="26" xfId="53" applyNumberFormat="1" applyFont="1" applyFill="1" applyBorder="1">
      <alignment/>
      <protection/>
    </xf>
    <xf numFmtId="2" fontId="33" fillId="33" borderId="26" xfId="57" applyNumberFormat="1" applyFont="1" applyFill="1" applyBorder="1">
      <alignment/>
      <protection/>
    </xf>
    <xf numFmtId="2" fontId="33" fillId="33" borderId="26" xfId="53" applyNumberFormat="1" applyFont="1" applyFill="1" applyBorder="1" applyAlignment="1">
      <alignment horizontal="right"/>
      <protection/>
    </xf>
    <xf numFmtId="2" fontId="33" fillId="33" borderId="27" xfId="57" applyNumberFormat="1" applyFont="1" applyFill="1" applyBorder="1">
      <alignment/>
      <protection/>
    </xf>
    <xf numFmtId="171" fontId="4" fillId="42" borderId="12" xfId="0" applyNumberFormat="1" applyFont="1" applyFill="1" applyBorder="1" applyAlignment="1">
      <alignment horizontal="left"/>
    </xf>
    <xf numFmtId="49" fontId="2" fillId="42" borderId="35" xfId="0" applyNumberFormat="1" applyFont="1" applyFill="1" applyBorder="1" applyAlignment="1">
      <alignment horizontal="center"/>
    </xf>
    <xf numFmtId="171" fontId="2" fillId="42" borderId="28" xfId="0" applyNumberFormat="1" applyFont="1" applyFill="1" applyBorder="1" applyAlignment="1">
      <alignment horizontal="left"/>
    </xf>
    <xf numFmtId="0" fontId="0" fillId="42" borderId="28" xfId="0" applyFont="1" applyFill="1" applyBorder="1" applyAlignment="1">
      <alignment horizontal="center"/>
    </xf>
    <xf numFmtId="49" fontId="4" fillId="42" borderId="36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71" fontId="4" fillId="42" borderId="28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2" fontId="17" fillId="42" borderId="44" xfId="53" applyNumberFormat="1" applyFill="1" applyBorder="1">
      <alignment/>
      <protection/>
    </xf>
    <xf numFmtId="171" fontId="4" fillId="42" borderId="12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181" fontId="23" fillId="42" borderId="17" xfId="0" applyNumberFormat="1" applyFont="1" applyFill="1" applyBorder="1" applyAlignment="1">
      <alignment/>
    </xf>
    <xf numFmtId="0" fontId="23" fillId="42" borderId="17" xfId="0" applyFont="1" applyFill="1" applyBorder="1" applyAlignment="1">
      <alignment horizontal="center"/>
    </xf>
    <xf numFmtId="0" fontId="9" fillId="42" borderId="16" xfId="0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49" fontId="4" fillId="42" borderId="23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right"/>
    </xf>
    <xf numFmtId="39" fontId="9" fillId="33" borderId="33" xfId="52" applyNumberFormat="1" applyFont="1" applyFill="1" applyBorder="1">
      <alignment/>
      <protection/>
    </xf>
    <xf numFmtId="10" fontId="0" fillId="33" borderId="12" xfId="52" applyNumberFormat="1" applyFont="1" applyFill="1" applyBorder="1">
      <alignment/>
      <protection/>
    </xf>
    <xf numFmtId="0" fontId="42" fillId="0" borderId="17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left" vertical="center" wrapText="1"/>
    </xf>
    <xf numFmtId="0" fontId="44" fillId="0" borderId="4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36" xfId="0" applyFont="1" applyBorder="1" applyAlignment="1">
      <alignment vertical="center" wrapText="1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2" fontId="48" fillId="0" borderId="36" xfId="0" applyNumberFormat="1" applyFont="1" applyBorder="1" applyAlignment="1">
      <alignment horizontal="center" vertical="top"/>
    </xf>
    <xf numFmtId="2" fontId="48" fillId="0" borderId="12" xfId="0" applyNumberFormat="1" applyFont="1" applyBorder="1" applyAlignment="1">
      <alignment horizontal="center" vertical="top"/>
    </xf>
    <xf numFmtId="0" fontId="48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right" wrapText="1"/>
    </xf>
    <xf numFmtId="10" fontId="48" fillId="0" borderId="12" xfId="0" applyNumberFormat="1" applyFont="1" applyBorder="1" applyAlignment="1">
      <alignment horizontal="right" wrapText="1"/>
    </xf>
    <xf numFmtId="186" fontId="48" fillId="0" borderId="41" xfId="0" applyNumberFormat="1" applyFont="1" applyBorder="1" applyAlignment="1">
      <alignment horizontal="right" wrapText="1"/>
    </xf>
    <xf numFmtId="184" fontId="48" fillId="0" borderId="30" xfId="0" applyNumberFormat="1" applyFont="1" applyBorder="1" applyAlignment="1">
      <alignment horizontal="right" wrapText="1"/>
    </xf>
    <xf numFmtId="0" fontId="48" fillId="0" borderId="12" xfId="0" applyNumberFormat="1" applyFont="1" applyBorder="1" applyAlignment="1">
      <alignment horizontal="center" wrapText="1"/>
    </xf>
    <xf numFmtId="0" fontId="47" fillId="42" borderId="50" xfId="0" applyFont="1" applyFill="1" applyBorder="1" applyAlignment="1">
      <alignment vertical="center" wrapText="1"/>
    </xf>
    <xf numFmtId="0" fontId="46" fillId="42" borderId="0" xfId="0" applyFont="1" applyFill="1" applyBorder="1" applyAlignment="1">
      <alignment horizontal="justify" vertical="top" wrapText="1"/>
    </xf>
    <xf numFmtId="0" fontId="46" fillId="42" borderId="52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39" fontId="52" fillId="0" borderId="12" xfId="67" applyNumberFormat="1" applyFont="1" applyBorder="1" applyAlignment="1">
      <alignment horizontal="right" wrapText="1"/>
    </xf>
    <xf numFmtId="39" fontId="52" fillId="47" borderId="12" xfId="67" applyNumberFormat="1" applyFont="1" applyFill="1" applyBorder="1" applyAlignment="1">
      <alignment horizontal="right" wrapText="1"/>
    </xf>
    <xf numFmtId="39" fontId="52" fillId="47" borderId="26" xfId="0" applyNumberFormat="1" applyFont="1" applyFill="1" applyBorder="1" applyAlignment="1">
      <alignment horizontal="right" vertical="center" wrapText="1"/>
    </xf>
    <xf numFmtId="39" fontId="52" fillId="47" borderId="26" xfId="0" applyNumberFormat="1" applyFont="1" applyFill="1" applyBorder="1" applyAlignment="1">
      <alignment horizontal="center" vertical="center" wrapText="1"/>
    </xf>
    <xf numFmtId="39" fontId="52" fillId="47" borderId="26" xfId="67" applyNumberFormat="1" applyFont="1" applyFill="1" applyBorder="1" applyAlignment="1">
      <alignment horizontal="right" wrapText="1"/>
    </xf>
    <xf numFmtId="39" fontId="52" fillId="47" borderId="27" xfId="67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43" fillId="0" borderId="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10" fontId="12" fillId="10" borderId="12" xfId="62" applyNumberFormat="1" applyFont="1" applyFill="1" applyBorder="1" applyAlignment="1">
      <alignment horizontal="center"/>
    </xf>
    <xf numFmtId="10" fontId="12" fillId="0" borderId="12" xfId="0" applyNumberFormat="1" applyFont="1" applyBorder="1" applyAlignment="1">
      <alignment horizontal="center"/>
    </xf>
    <xf numFmtId="0" fontId="11" fillId="47" borderId="12" xfId="0" applyFont="1" applyFill="1" applyBorder="1" applyAlignment="1">
      <alignment horizontal="center" vertical="center" wrapText="1"/>
    </xf>
    <xf numFmtId="0" fontId="11" fillId="47" borderId="30" xfId="0" applyFont="1" applyFill="1" applyBorder="1" applyAlignment="1">
      <alignment horizontal="center" vertical="center" wrapText="1"/>
    </xf>
    <xf numFmtId="0" fontId="11" fillId="47" borderId="41" xfId="0" applyFont="1" applyFill="1" applyBorder="1" applyAlignment="1">
      <alignment horizontal="center" vertical="center" wrapText="1"/>
    </xf>
    <xf numFmtId="0" fontId="0" fillId="47" borderId="73" xfId="0" applyFont="1" applyFill="1" applyBorder="1" applyAlignment="1">
      <alignment vertical="center"/>
    </xf>
    <xf numFmtId="0" fontId="0" fillId="47" borderId="41" xfId="0" applyFont="1" applyFill="1" applyBorder="1" applyAlignment="1">
      <alignment vertical="center"/>
    </xf>
    <xf numFmtId="0" fontId="0" fillId="48" borderId="36" xfId="0" applyFill="1" applyBorder="1" applyAlignment="1">
      <alignment/>
    </xf>
    <xf numFmtId="0" fontId="0" fillId="48" borderId="12" xfId="0" applyFill="1" applyBorder="1" applyAlignment="1">
      <alignment horizontal="justify" vertical="top" wrapText="1"/>
    </xf>
    <xf numFmtId="0" fontId="0" fillId="48" borderId="12" xfId="0" applyFill="1" applyBorder="1" applyAlignment="1">
      <alignment horizontal="center"/>
    </xf>
    <xf numFmtId="171" fontId="0" fillId="48" borderId="12" xfId="67" applyFont="1" applyFill="1" applyBorder="1" applyAlignment="1" quotePrefix="1">
      <alignment horizontal="center"/>
    </xf>
    <xf numFmtId="170" fontId="0" fillId="48" borderId="12" xfId="50" applyFont="1" applyFill="1" applyBorder="1" applyAlignment="1">
      <alignment horizontal="center"/>
    </xf>
    <xf numFmtId="170" fontId="0" fillId="0" borderId="12" xfId="50" applyFont="1" applyBorder="1" applyAlignment="1">
      <alignment horizontal="center"/>
    </xf>
    <xf numFmtId="171" fontId="0" fillId="49" borderId="12" xfId="67" applyFont="1" applyFill="1" applyBorder="1" applyAlignment="1">
      <alignment/>
    </xf>
    <xf numFmtId="10" fontId="0" fillId="0" borderId="12" xfId="67" applyNumberFormat="1" applyFont="1" applyBorder="1" applyAlignment="1">
      <alignment/>
    </xf>
    <xf numFmtId="170" fontId="0" fillId="0" borderId="12" xfId="50" applyFont="1" applyBorder="1" applyAlignment="1">
      <alignment/>
    </xf>
    <xf numFmtId="2" fontId="0" fillId="49" borderId="41" xfId="67" applyNumberFormat="1" applyFont="1" applyFill="1" applyBorder="1" applyAlignment="1">
      <alignment horizontal="center"/>
    </xf>
    <xf numFmtId="10" fontId="0" fillId="0" borderId="41" xfId="67" applyNumberFormat="1" applyFont="1" applyBorder="1" applyAlignment="1">
      <alignment horizontal="center"/>
    </xf>
    <xf numFmtId="2" fontId="0" fillId="0" borderId="12" xfId="50" applyNumberFormat="1" applyFon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70" fontId="0" fillId="0" borderId="30" xfId="50" applyFont="1" applyBorder="1" applyAlignment="1">
      <alignment/>
    </xf>
    <xf numFmtId="171" fontId="0" fillId="49" borderId="12" xfId="67" applyFont="1" applyFill="1" applyBorder="1" applyAlignment="1">
      <alignment horizontal="center"/>
    </xf>
    <xf numFmtId="0" fontId="24" fillId="49" borderId="12" xfId="0" applyFont="1" applyFill="1" applyBorder="1" applyAlignment="1">
      <alignment horizontal="center"/>
    </xf>
    <xf numFmtId="2" fontId="24" fillId="49" borderId="12" xfId="0" applyNumberFormat="1" applyFont="1" applyFill="1" applyBorder="1" applyAlignment="1">
      <alignment horizontal="center"/>
    </xf>
    <xf numFmtId="0" fontId="24" fillId="48" borderId="36" xfId="0" applyFont="1" applyFill="1" applyBorder="1" applyAlignment="1">
      <alignment/>
    </xf>
    <xf numFmtId="0" fontId="24" fillId="48" borderId="12" xfId="0" applyFont="1" applyFill="1" applyBorder="1" applyAlignment="1">
      <alignment vertical="top" wrapText="1"/>
    </xf>
    <xf numFmtId="0" fontId="24" fillId="48" borderId="12" xfId="0" applyFont="1" applyFill="1" applyBorder="1" applyAlignment="1">
      <alignment horizontal="center"/>
    </xf>
    <xf numFmtId="0" fontId="36" fillId="48" borderId="12" xfId="0" applyFont="1" applyFill="1" applyBorder="1" applyAlignment="1">
      <alignment horizontal="center" vertical="center"/>
    </xf>
    <xf numFmtId="0" fontId="36" fillId="48" borderId="12" xfId="0" applyFont="1" applyFill="1" applyBorder="1" applyAlignment="1">
      <alignment horizontal="center" vertical="center" wrapText="1"/>
    </xf>
    <xf numFmtId="170" fontId="2" fillId="47" borderId="12" xfId="50" applyFont="1" applyFill="1" applyBorder="1" applyAlignment="1">
      <alignment horizontal="center"/>
    </xf>
    <xf numFmtId="170" fontId="2" fillId="47" borderId="30" xfId="5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4" fontId="9" fillId="0" borderId="75" xfId="0" applyNumberFormat="1" applyFont="1" applyBorder="1" applyAlignment="1">
      <alignment horizontal="center" vertical="center" wrapText="1"/>
    </xf>
    <xf numFmtId="2" fontId="9" fillId="0" borderId="7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" fontId="4" fillId="0" borderId="77" xfId="0" applyNumberFormat="1" applyFont="1" applyBorder="1" applyAlignment="1">
      <alignment/>
    </xf>
    <xf numFmtId="0" fontId="4" fillId="0" borderId="12" xfId="0" applyFont="1" applyBorder="1" applyAlignment="1">
      <alignment/>
    </xf>
    <xf numFmtId="208" fontId="4" fillId="0" borderId="12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4" fontId="4" fillId="0" borderId="78" xfId="0" applyNumberFormat="1" applyFont="1" applyBorder="1" applyAlignment="1">
      <alignment/>
    </xf>
    <xf numFmtId="0" fontId="4" fillId="0" borderId="26" xfId="0" applyFont="1" applyBorder="1" applyAlignment="1">
      <alignment/>
    </xf>
    <xf numFmtId="208" fontId="4" fillId="0" borderId="26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71" fontId="4" fillId="42" borderId="12" xfId="0" applyNumberFormat="1" applyFont="1" applyFill="1" applyBorder="1" applyAlignment="1">
      <alignment horizontal="center"/>
    </xf>
    <xf numFmtId="181" fontId="16" fillId="0" borderId="3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/>
    </xf>
    <xf numFmtId="2" fontId="48" fillId="0" borderId="57" xfId="0" applyNumberFormat="1" applyFont="1" applyBorder="1" applyAlignment="1">
      <alignment horizontal="center" vertical="top"/>
    </xf>
    <xf numFmtId="2" fontId="48" fillId="0" borderId="55" xfId="0" applyNumberFormat="1" applyFont="1" applyBorder="1" applyAlignment="1">
      <alignment horizontal="center" vertical="top"/>
    </xf>
    <xf numFmtId="0" fontId="48" fillId="0" borderId="55" xfId="0" applyFont="1" applyBorder="1" applyAlignment="1">
      <alignment horizontal="justify" vertical="top" wrapText="1"/>
    </xf>
    <xf numFmtId="0" fontId="48" fillId="0" borderId="55" xfId="0" applyNumberFormat="1" applyFont="1" applyBorder="1" applyAlignment="1">
      <alignment horizontal="center" wrapText="1"/>
    </xf>
    <xf numFmtId="4" fontId="48" fillId="0" borderId="55" xfId="0" applyNumberFormat="1" applyFont="1" applyBorder="1" applyAlignment="1">
      <alignment horizontal="right" wrapText="1"/>
    </xf>
    <xf numFmtId="10" fontId="48" fillId="0" borderId="55" xfId="0" applyNumberFormat="1" applyFont="1" applyBorder="1" applyAlignment="1">
      <alignment horizontal="right" wrapText="1"/>
    </xf>
    <xf numFmtId="186" fontId="48" fillId="0" borderId="45" xfId="0" applyNumberFormat="1" applyFont="1" applyBorder="1" applyAlignment="1">
      <alignment horizontal="right" wrapText="1"/>
    </xf>
    <xf numFmtId="2" fontId="49" fillId="0" borderId="35" xfId="0" applyNumberFormat="1" applyFont="1" applyBorder="1" applyAlignment="1">
      <alignment horizontal="center" vertical="top"/>
    </xf>
    <xf numFmtId="2" fontId="48" fillId="0" borderId="28" xfId="0" applyNumberFormat="1" applyFont="1" applyBorder="1" applyAlignment="1">
      <alignment horizontal="center" vertical="top"/>
    </xf>
    <xf numFmtId="0" fontId="49" fillId="0" borderId="28" xfId="0" applyFont="1" applyBorder="1" applyAlignment="1">
      <alignment horizontal="justify" vertical="top" wrapText="1"/>
    </xf>
    <xf numFmtId="0" fontId="48" fillId="0" borderId="28" xfId="0" applyFont="1" applyBorder="1" applyAlignment="1">
      <alignment horizontal="center" vertical="top" wrapText="1"/>
    </xf>
    <xf numFmtId="4" fontId="48" fillId="0" borderId="28" xfId="0" applyNumberFormat="1" applyFont="1" applyBorder="1" applyAlignment="1">
      <alignment horizontal="right" wrapText="1"/>
    </xf>
    <xf numFmtId="10" fontId="48" fillId="0" borderId="28" xfId="0" applyNumberFormat="1" applyFont="1" applyBorder="1" applyAlignment="1">
      <alignment horizontal="right" wrapText="1"/>
    </xf>
    <xf numFmtId="186" fontId="48" fillId="0" borderId="58" xfId="0" applyNumberFormat="1" applyFont="1" applyBorder="1" applyAlignment="1">
      <alignment horizontal="right" wrapText="1"/>
    </xf>
    <xf numFmtId="2" fontId="48" fillId="0" borderId="23" xfId="0" applyNumberFormat="1" applyFont="1" applyBorder="1" applyAlignment="1">
      <alignment horizontal="center" vertical="top"/>
    </xf>
    <xf numFmtId="2" fontId="48" fillId="0" borderId="26" xfId="0" applyNumberFormat="1" applyFont="1" applyBorder="1" applyAlignment="1">
      <alignment horizontal="center" vertical="top"/>
    </xf>
    <xf numFmtId="0" fontId="48" fillId="0" borderId="26" xfId="0" applyFont="1" applyBorder="1" applyAlignment="1">
      <alignment horizontal="justify" vertical="top" wrapText="1"/>
    </xf>
    <xf numFmtId="0" fontId="48" fillId="0" borderId="26" xfId="0" applyNumberFormat="1" applyFont="1" applyBorder="1" applyAlignment="1">
      <alignment horizontal="center" wrapText="1"/>
    </xf>
    <xf numFmtId="4" fontId="48" fillId="0" borderId="26" xfId="0" applyNumberFormat="1" applyFont="1" applyBorder="1" applyAlignment="1">
      <alignment horizontal="right" wrapText="1"/>
    </xf>
    <xf numFmtId="10" fontId="48" fillId="0" borderId="26" xfId="0" applyNumberFormat="1" applyFont="1" applyBorder="1" applyAlignment="1">
      <alignment horizontal="right" wrapText="1"/>
    </xf>
    <xf numFmtId="184" fontId="48" fillId="0" borderId="27" xfId="0" applyNumberFormat="1" applyFont="1" applyBorder="1" applyAlignment="1">
      <alignment horizontal="right" wrapText="1"/>
    </xf>
    <xf numFmtId="184" fontId="49" fillId="0" borderId="29" xfId="0" applyNumberFormat="1" applyFont="1" applyBorder="1" applyAlignment="1">
      <alignment horizontal="right" wrapText="1"/>
    </xf>
    <xf numFmtId="2" fontId="48" fillId="0" borderId="37" xfId="0" applyNumberFormat="1" applyFont="1" applyBorder="1" applyAlignment="1">
      <alignment horizontal="center" vertical="top"/>
    </xf>
    <xf numFmtId="2" fontId="48" fillId="0" borderId="38" xfId="0" applyNumberFormat="1" applyFont="1" applyBorder="1" applyAlignment="1">
      <alignment horizontal="center" vertical="top"/>
    </xf>
    <xf numFmtId="0" fontId="48" fillId="0" borderId="38" xfId="0" applyFont="1" applyBorder="1" applyAlignment="1">
      <alignment horizontal="justify" vertical="top" wrapText="1"/>
    </xf>
    <xf numFmtId="0" fontId="48" fillId="0" borderId="38" xfId="0" applyNumberFormat="1" applyFont="1" applyBorder="1" applyAlignment="1">
      <alignment horizontal="center" wrapText="1"/>
    </xf>
    <xf numFmtId="4" fontId="48" fillId="0" borderId="38" xfId="0" applyNumberFormat="1" applyFont="1" applyBorder="1" applyAlignment="1">
      <alignment horizontal="right" wrapText="1"/>
    </xf>
    <xf numFmtId="10" fontId="48" fillId="0" borderId="38" xfId="0" applyNumberFormat="1" applyFont="1" applyBorder="1" applyAlignment="1">
      <alignment horizontal="right" wrapText="1"/>
    </xf>
    <xf numFmtId="186" fontId="48" fillId="0" borderId="65" xfId="0" applyNumberFormat="1" applyFont="1" applyBorder="1" applyAlignment="1">
      <alignment horizontal="right" wrapText="1"/>
    </xf>
    <xf numFmtId="184" fontId="48" fillId="0" borderId="40" xfId="0" applyNumberFormat="1" applyFont="1" applyBorder="1" applyAlignment="1">
      <alignment horizontal="right" wrapText="1"/>
    </xf>
    <xf numFmtId="186" fontId="48" fillId="0" borderId="12" xfId="0" applyNumberFormat="1" applyFont="1" applyBorder="1" applyAlignment="1">
      <alignment horizontal="right" wrapText="1"/>
    </xf>
    <xf numFmtId="0" fontId="48" fillId="0" borderId="28" xfId="0" applyNumberFormat="1" applyFont="1" applyBorder="1" applyAlignment="1">
      <alignment horizontal="center" wrapText="1"/>
    </xf>
    <xf numFmtId="186" fontId="48" fillId="0" borderId="28" xfId="0" applyNumberFormat="1" applyFont="1" applyBorder="1" applyAlignment="1">
      <alignment horizontal="right" wrapText="1"/>
    </xf>
    <xf numFmtId="186" fontId="48" fillId="0" borderId="26" xfId="0" applyNumberFormat="1" applyFont="1" applyBorder="1" applyAlignment="1">
      <alignment horizontal="right" wrapText="1"/>
    </xf>
    <xf numFmtId="0" fontId="51" fillId="0" borderId="65" xfId="0" applyFont="1" applyBorder="1" applyAlignment="1">
      <alignment vertical="top" wrapText="1"/>
    </xf>
    <xf numFmtId="0" fontId="51" fillId="0" borderId="79" xfId="0" applyFont="1" applyBorder="1" applyAlignment="1">
      <alignment vertical="top" wrapText="1"/>
    </xf>
    <xf numFmtId="171" fontId="4" fillId="42" borderId="37" xfId="0" applyNumberFormat="1" applyFont="1" applyFill="1" applyBorder="1" applyAlignment="1">
      <alignment horizontal="center"/>
    </xf>
    <xf numFmtId="171" fontId="4" fillId="42" borderId="38" xfId="0" applyNumberFormat="1" applyFont="1" applyFill="1" applyBorder="1" applyAlignment="1">
      <alignment horizontal="left"/>
    </xf>
    <xf numFmtId="171" fontId="4" fillId="42" borderId="38" xfId="0" applyNumberFormat="1" applyFont="1" applyFill="1" applyBorder="1" applyAlignment="1">
      <alignment horizontal="center"/>
    </xf>
    <xf numFmtId="171" fontId="4" fillId="42" borderId="38" xfId="0" applyNumberFormat="1" applyFont="1" applyFill="1" applyBorder="1" applyAlignment="1">
      <alignment horizontal="right"/>
    </xf>
    <xf numFmtId="49" fontId="2" fillId="42" borderId="57" xfId="0" applyNumberFormat="1" applyFont="1" applyFill="1" applyBorder="1" applyAlignment="1">
      <alignment horizontal="center"/>
    </xf>
    <xf numFmtId="171" fontId="2" fillId="42" borderId="55" xfId="0" applyNumberFormat="1" applyFont="1" applyFill="1" applyBorder="1" applyAlignment="1">
      <alignment horizontal="left"/>
    </xf>
    <xf numFmtId="0" fontId="10" fillId="0" borderId="55" xfId="0" applyFont="1" applyFill="1" applyBorder="1" applyAlignment="1">
      <alignment horizontal="center"/>
    </xf>
    <xf numFmtId="171" fontId="4" fillId="42" borderId="55" xfId="0" applyNumberFormat="1" applyFont="1" applyFill="1" applyBorder="1" applyAlignment="1">
      <alignment horizontal="right"/>
    </xf>
    <xf numFmtId="186" fontId="48" fillId="0" borderId="38" xfId="0" applyNumberFormat="1" applyFont="1" applyBorder="1" applyAlignment="1">
      <alignment horizontal="right" wrapText="1"/>
    </xf>
    <xf numFmtId="0" fontId="48" fillId="0" borderId="80" xfId="0" applyFont="1" applyBorder="1" applyAlignment="1">
      <alignment horizontal="justify" vertical="top" wrapText="1"/>
    </xf>
    <xf numFmtId="2" fontId="48" fillId="0" borderId="81" xfId="0" applyNumberFormat="1" applyFont="1" applyBorder="1" applyAlignment="1">
      <alignment horizontal="center" vertical="top"/>
    </xf>
    <xf numFmtId="2" fontId="48" fillId="0" borderId="80" xfId="0" applyNumberFormat="1" applyFont="1" applyBorder="1" applyAlignment="1">
      <alignment horizontal="center" vertical="top"/>
    </xf>
    <xf numFmtId="0" fontId="48" fillId="0" borderId="80" xfId="0" applyNumberFormat="1" applyFont="1" applyBorder="1" applyAlignment="1">
      <alignment horizontal="center" wrapText="1"/>
    </xf>
    <xf numFmtId="4" fontId="48" fillId="0" borderId="80" xfId="0" applyNumberFormat="1" applyFont="1" applyBorder="1" applyAlignment="1">
      <alignment horizontal="right" wrapText="1"/>
    </xf>
    <xf numFmtId="10" fontId="48" fillId="0" borderId="80" xfId="0" applyNumberFormat="1" applyFont="1" applyBorder="1" applyAlignment="1">
      <alignment horizontal="right" wrapText="1"/>
    </xf>
    <xf numFmtId="186" fontId="48" fillId="0" borderId="68" xfId="0" applyNumberFormat="1" applyFont="1" applyBorder="1" applyAlignment="1">
      <alignment horizontal="right" wrapText="1"/>
    </xf>
    <xf numFmtId="184" fontId="48" fillId="0" borderId="11" xfId="0" applyNumberFormat="1" applyFont="1" applyBorder="1" applyAlignment="1">
      <alignment horizontal="right" wrapText="1"/>
    </xf>
    <xf numFmtId="0" fontId="47" fillId="0" borderId="65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47" fillId="0" borderId="66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9" fillId="0" borderId="68" xfId="0" applyFont="1" applyBorder="1" applyAlignment="1">
      <alignment vertical="top" wrapText="1"/>
    </xf>
    <xf numFmtId="0" fontId="44" fillId="47" borderId="38" xfId="0" applyFont="1" applyFill="1" applyBorder="1" applyAlignment="1">
      <alignment horizontal="center" vertical="top" wrapText="1"/>
    </xf>
    <xf numFmtId="0" fontId="44" fillId="47" borderId="40" xfId="0" applyFont="1" applyFill="1" applyBorder="1" applyAlignment="1">
      <alignment horizontal="center" vertical="top" wrapText="1"/>
    </xf>
    <xf numFmtId="39" fontId="52" fillId="0" borderId="26" xfId="67" applyNumberFormat="1" applyFont="1" applyBorder="1" applyAlignment="1">
      <alignment horizontal="right" wrapText="1"/>
    </xf>
    <xf numFmtId="37" fontId="52" fillId="0" borderId="26" xfId="67" applyNumberFormat="1" applyFont="1" applyBorder="1" applyAlignment="1">
      <alignment horizontal="center" wrapText="1"/>
    </xf>
    <xf numFmtId="171" fontId="52" fillId="0" borderId="26" xfId="67" applyNumberFormat="1" applyFont="1" applyBorder="1" applyAlignment="1">
      <alignment horizontal="center" wrapText="1"/>
    </xf>
    <xf numFmtId="39" fontId="52" fillId="0" borderId="38" xfId="67" applyNumberFormat="1" applyFont="1" applyBorder="1" applyAlignment="1">
      <alignment horizontal="right" wrapText="1"/>
    </xf>
    <xf numFmtId="37" fontId="52" fillId="0" borderId="38" xfId="67" applyNumberFormat="1" applyFont="1" applyBorder="1" applyAlignment="1">
      <alignment horizontal="center" wrapText="1"/>
    </xf>
    <xf numFmtId="171" fontId="52" fillId="0" borderId="38" xfId="67" applyNumberFormat="1" applyFont="1" applyBorder="1" applyAlignment="1">
      <alignment horizontal="center" wrapText="1"/>
    </xf>
    <xf numFmtId="39" fontId="52" fillId="47" borderId="40" xfId="67" applyNumberFormat="1" applyFont="1" applyFill="1" applyBorder="1" applyAlignment="1">
      <alignment horizontal="right" wrapText="1"/>
    </xf>
    <xf numFmtId="39" fontId="52" fillId="47" borderId="38" xfId="67" applyNumberFormat="1" applyFont="1" applyFill="1" applyBorder="1" applyAlignment="1">
      <alignment horizontal="right" wrapText="1"/>
    </xf>
    <xf numFmtId="39" fontId="52" fillId="47" borderId="55" xfId="0" applyNumberFormat="1" applyFont="1" applyFill="1" applyBorder="1" applyAlignment="1">
      <alignment horizontal="right" vertical="center" wrapText="1"/>
    </xf>
    <xf numFmtId="39" fontId="52" fillId="47" borderId="55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top"/>
    </xf>
    <xf numFmtId="171" fontId="4" fillId="42" borderId="12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42" borderId="0" xfId="0" applyNumberFormat="1" applyFill="1" applyAlignment="1">
      <alignment/>
    </xf>
    <xf numFmtId="44" fontId="0" fillId="0" borderId="0" xfId="0" applyNumberFormat="1" applyAlignment="1">
      <alignment/>
    </xf>
    <xf numFmtId="44" fontId="0" fillId="42" borderId="0" xfId="0" applyNumberFormat="1" applyFill="1" applyAlignment="1">
      <alignment/>
    </xf>
    <xf numFmtId="181" fontId="0" fillId="33" borderId="0" xfId="52" applyNumberFormat="1" applyFont="1" applyFill="1" applyAlignment="1">
      <alignment horizontal="center"/>
      <protection/>
    </xf>
    <xf numFmtId="0" fontId="0" fillId="42" borderId="55" xfId="0" applyFont="1" applyFill="1" applyBorder="1" applyAlignment="1">
      <alignment horizontal="center"/>
    </xf>
    <xf numFmtId="171" fontId="2" fillId="42" borderId="55" xfId="0" applyNumberFormat="1" applyFont="1" applyFill="1" applyBorder="1" applyAlignment="1">
      <alignment horizontal="right"/>
    </xf>
    <xf numFmtId="39" fontId="60" fillId="47" borderId="28" xfId="67" applyNumberFormat="1" applyFont="1" applyFill="1" applyBorder="1" applyAlignment="1">
      <alignment horizontal="right" wrapText="1"/>
    </xf>
    <xf numFmtId="2" fontId="49" fillId="0" borderId="57" xfId="0" applyNumberFormat="1" applyFont="1" applyBorder="1" applyAlignment="1">
      <alignment horizontal="center" vertical="top"/>
    </xf>
    <xf numFmtId="39" fontId="60" fillId="47" borderId="55" xfId="67" applyNumberFormat="1" applyFont="1" applyFill="1" applyBorder="1" applyAlignment="1">
      <alignment horizontal="right" wrapText="1"/>
    </xf>
    <xf numFmtId="10" fontId="60" fillId="47" borderId="29" xfId="67" applyNumberFormat="1" applyFont="1" applyFill="1" applyBorder="1" applyAlignment="1">
      <alignment horizontal="right" vertical="center" wrapText="1"/>
    </xf>
    <xf numFmtId="9" fontId="60" fillId="0" borderId="28" xfId="67" applyNumberFormat="1" applyFont="1" applyBorder="1" applyAlignment="1">
      <alignment horizontal="center" wrapText="1"/>
    </xf>
    <xf numFmtId="9" fontId="52" fillId="0" borderId="12" xfId="67" applyNumberFormat="1" applyFont="1" applyBorder="1" applyAlignment="1">
      <alignment horizontal="center" wrapText="1"/>
    </xf>
    <xf numFmtId="10" fontId="60" fillId="47" borderId="56" xfId="67" applyNumberFormat="1" applyFont="1" applyFill="1" applyBorder="1" applyAlignment="1">
      <alignment horizontal="right" vertical="center" wrapText="1"/>
    </xf>
    <xf numFmtId="10" fontId="52" fillId="47" borderId="30" xfId="67" applyNumberFormat="1" applyFont="1" applyFill="1" applyBorder="1" applyAlignment="1">
      <alignment horizontal="right" vertical="center" wrapText="1"/>
    </xf>
    <xf numFmtId="10" fontId="52" fillId="47" borderId="56" xfId="67" applyNumberFormat="1" applyFont="1" applyFill="1" applyBorder="1" applyAlignment="1">
      <alignment horizontal="right" vertical="center" wrapText="1"/>
    </xf>
    <xf numFmtId="9" fontId="60" fillId="0" borderId="28" xfId="67" applyNumberFormat="1" applyFont="1" applyBorder="1" applyAlignment="1">
      <alignment horizontal="center" vertical="center" wrapText="1"/>
    </xf>
    <xf numFmtId="39" fontId="60" fillId="0" borderId="28" xfId="67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top" wrapText="1"/>
    </xf>
    <xf numFmtId="0" fontId="44" fillId="47" borderId="0" xfId="0" applyFont="1" applyFill="1" applyBorder="1" applyAlignment="1">
      <alignment horizontal="center" vertical="top" wrapText="1"/>
    </xf>
    <xf numFmtId="0" fontId="44" fillId="47" borderId="51" xfId="0" applyFont="1" applyFill="1" applyBorder="1" applyAlignment="1">
      <alignment horizontal="center" vertical="top" wrapText="1"/>
    </xf>
    <xf numFmtId="39" fontId="52" fillId="47" borderId="66" xfId="0" applyNumberFormat="1" applyFont="1" applyFill="1" applyBorder="1" applyAlignment="1">
      <alignment horizontal="right" vertical="center" wrapText="1"/>
    </xf>
    <xf numFmtId="39" fontId="52" fillId="47" borderId="0" xfId="0" applyNumberFormat="1" applyFont="1" applyFill="1" applyBorder="1" applyAlignment="1">
      <alignment horizontal="center" vertical="center" wrapText="1"/>
    </xf>
    <xf numFmtId="39" fontId="52" fillId="47" borderId="0" xfId="0" applyNumberFormat="1" applyFont="1" applyFill="1" applyBorder="1" applyAlignment="1">
      <alignment horizontal="right" vertical="center" wrapText="1"/>
    </xf>
    <xf numFmtId="39" fontId="52" fillId="47" borderId="51" xfId="0" applyNumberFormat="1" applyFont="1" applyFill="1" applyBorder="1" applyAlignment="1">
      <alignment horizontal="right" vertical="center" wrapText="1"/>
    </xf>
    <xf numFmtId="39" fontId="52" fillId="47" borderId="66" xfId="0" applyNumberFormat="1" applyFont="1" applyFill="1" applyBorder="1" applyAlignment="1">
      <alignment horizontal="center" vertical="center" wrapText="1"/>
    </xf>
    <xf numFmtId="39" fontId="52" fillId="47" borderId="0" xfId="67" applyNumberFormat="1" applyFont="1" applyFill="1" applyBorder="1" applyAlignment="1">
      <alignment horizontal="right" wrapText="1"/>
    </xf>
    <xf numFmtId="0" fontId="53" fillId="0" borderId="52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49" xfId="0" applyFont="1" applyBorder="1" applyAlignment="1">
      <alignment horizontal="left" vertical="top" wrapText="1"/>
    </xf>
    <xf numFmtId="0" fontId="53" fillId="0" borderId="17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171" fontId="4" fillId="42" borderId="12" xfId="0" applyNumberFormat="1" applyFont="1" applyFill="1" applyBorder="1" applyAlignment="1">
      <alignment horizontal="center"/>
    </xf>
    <xf numFmtId="0" fontId="0" fillId="33" borderId="12" xfId="52" applyFont="1" applyFill="1" applyBorder="1" applyAlignment="1">
      <alignment horizontal="center"/>
      <protection/>
    </xf>
    <xf numFmtId="0" fontId="0" fillId="33" borderId="35" xfId="52" applyFill="1" applyBorder="1" applyAlignment="1">
      <alignment horizontal="center"/>
      <protection/>
    </xf>
    <xf numFmtId="0" fontId="0" fillId="33" borderId="28" xfId="52" applyFill="1" applyBorder="1" applyAlignment="1">
      <alignment horizontal="center"/>
      <protection/>
    </xf>
    <xf numFmtId="0" fontId="0" fillId="33" borderId="29" xfId="52" applyFill="1" applyBorder="1" applyAlignment="1">
      <alignment horizontal="center"/>
      <protection/>
    </xf>
    <xf numFmtId="0" fontId="0" fillId="33" borderId="36" xfId="52" applyFill="1" applyBorder="1" applyAlignment="1">
      <alignment horizontal="center" vertical="center"/>
      <protection/>
    </xf>
    <xf numFmtId="0" fontId="0" fillId="33" borderId="12" xfId="52" applyFont="1" applyFill="1" applyBorder="1" applyAlignment="1">
      <alignment horizontal="left"/>
      <protection/>
    </xf>
    <xf numFmtId="174" fontId="0" fillId="33" borderId="12" xfId="52" applyNumberForma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center" vertical="center"/>
      <protection/>
    </xf>
    <xf numFmtId="4" fontId="0" fillId="33" borderId="12" xfId="52" applyNumberFormat="1" applyFont="1" applyFill="1" applyBorder="1" applyAlignment="1">
      <alignment horizontal="center" vertical="center"/>
      <protection/>
    </xf>
    <xf numFmtId="4" fontId="0" fillId="33" borderId="30" xfId="52" applyNumberFormat="1" applyFill="1" applyBorder="1" applyAlignment="1">
      <alignment horizontal="center" vertical="center"/>
      <protection/>
    </xf>
    <xf numFmtId="0" fontId="0" fillId="33" borderId="36" xfId="52" applyFon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left" vertical="center" wrapText="1"/>
      <protection/>
    </xf>
    <xf numFmtId="4" fontId="93" fillId="33" borderId="12" xfId="52" applyNumberFormat="1" applyFont="1" applyFill="1" applyBorder="1" applyAlignment="1">
      <alignment horizontal="center" vertical="center"/>
      <protection/>
    </xf>
    <xf numFmtId="174" fontId="0" fillId="33" borderId="12" xfId="52" applyNumberFormat="1" applyFont="1" applyFill="1" applyBorder="1" applyAlignment="1">
      <alignment horizontal="center" vertical="center"/>
      <protection/>
    </xf>
    <xf numFmtId="0" fontId="0" fillId="42" borderId="36" xfId="52" applyFont="1" applyFill="1" applyBorder="1" applyAlignment="1">
      <alignment horizontal="center"/>
      <protection/>
    </xf>
    <xf numFmtId="174" fontId="0" fillId="33" borderId="12" xfId="52" applyNumberFormat="1" applyFill="1" applyBorder="1" applyAlignment="1">
      <alignment horizontal="center"/>
      <protection/>
    </xf>
    <xf numFmtId="4" fontId="93" fillId="33" borderId="12" xfId="52" applyNumberFormat="1" applyFont="1" applyFill="1" applyBorder="1" applyAlignment="1">
      <alignment horizontal="center"/>
      <protection/>
    </xf>
    <xf numFmtId="4" fontId="0" fillId="33" borderId="30" xfId="52" applyNumberFormat="1" applyFill="1" applyBorder="1" applyAlignment="1">
      <alignment horizontal="center"/>
      <protection/>
    </xf>
    <xf numFmtId="0" fontId="0" fillId="33" borderId="12" xfId="52" applyFill="1" applyBorder="1" applyAlignment="1">
      <alignment horizontal="left" wrapText="1"/>
      <protection/>
    </xf>
    <xf numFmtId="0" fontId="0" fillId="33" borderId="36" xfId="52" applyFill="1" applyBorder="1" applyAlignment="1">
      <alignment horizontal="center"/>
      <protection/>
    </xf>
    <xf numFmtId="174" fontId="0" fillId="33" borderId="12" xfId="52" applyNumberFormat="1" applyFont="1" applyFill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184" fontId="49" fillId="0" borderId="27" xfId="0" applyNumberFormat="1" applyFont="1" applyBorder="1" applyAlignment="1">
      <alignment horizontal="right" vertical="center" wrapText="1"/>
    </xf>
    <xf numFmtId="171" fontId="4" fillId="42" borderId="12" xfId="0" applyNumberFormat="1" applyFont="1" applyFill="1" applyBorder="1" applyAlignment="1">
      <alignment horizontal="center"/>
    </xf>
    <xf numFmtId="0" fontId="49" fillId="0" borderId="55" xfId="0" applyFont="1" applyBorder="1" applyAlignment="1">
      <alignment horizontal="justify" vertical="top" wrapText="1"/>
    </xf>
    <xf numFmtId="0" fontId="0" fillId="42" borderId="30" xfId="52" applyFill="1" applyBorder="1" applyAlignment="1">
      <alignment horizontal="center"/>
      <protection/>
    </xf>
    <xf numFmtId="0" fontId="0" fillId="42" borderId="30" xfId="52" applyFill="1" applyBorder="1" applyAlignment="1">
      <alignment horizontal="center"/>
      <protection/>
    </xf>
    <xf numFmtId="0" fontId="0" fillId="42" borderId="23" xfId="52" applyFill="1" applyBorder="1" applyAlignment="1">
      <alignment horizontal="center"/>
      <protection/>
    </xf>
    <xf numFmtId="0" fontId="0" fillId="42" borderId="38" xfId="52" applyFill="1" applyBorder="1" applyAlignment="1">
      <alignment horizontal="center"/>
      <protection/>
    </xf>
    <xf numFmtId="4" fontId="48" fillId="0" borderId="39" xfId="0" applyNumberFormat="1" applyFont="1" applyFill="1" applyBorder="1" applyAlignment="1">
      <alignment horizontal="right" wrapText="1"/>
    </xf>
    <xf numFmtId="0" fontId="0" fillId="33" borderId="12" xfId="52" applyFill="1" applyBorder="1" applyAlignment="1">
      <alignment vertical="top" wrapText="1"/>
      <protection/>
    </xf>
    <xf numFmtId="0" fontId="0" fillId="33" borderId="12" xfId="52" applyNumberFormat="1" applyFont="1" applyFill="1" applyBorder="1" applyAlignment="1">
      <alignment horizontal="center"/>
      <protection/>
    </xf>
    <xf numFmtId="4" fontId="0" fillId="33" borderId="12" xfId="52" applyNumberForma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left"/>
      <protection/>
    </xf>
    <xf numFmtId="0" fontId="0" fillId="33" borderId="35" xfId="52" applyFill="1" applyBorder="1" applyAlignment="1">
      <alignment horizontal="center" vertical="top"/>
      <protection/>
    </xf>
    <xf numFmtId="0" fontId="0" fillId="33" borderId="28" xfId="52" applyFill="1" applyBorder="1" applyAlignment="1">
      <alignment vertical="top" wrapText="1"/>
      <protection/>
    </xf>
    <xf numFmtId="4" fontId="0" fillId="33" borderId="28" xfId="52" applyNumberFormat="1" applyFill="1" applyBorder="1" applyAlignment="1">
      <alignment horizontal="center"/>
      <protection/>
    </xf>
    <xf numFmtId="0" fontId="0" fillId="33" borderId="28" xfId="52" applyNumberFormat="1" applyFont="1" applyFill="1" applyBorder="1" applyAlignment="1">
      <alignment horizontal="center"/>
      <protection/>
    </xf>
    <xf numFmtId="4" fontId="0" fillId="33" borderId="29" xfId="52" applyNumberFormat="1" applyFill="1" applyBorder="1" applyAlignment="1">
      <alignment horizontal="center"/>
      <protection/>
    </xf>
    <xf numFmtId="0" fontId="0" fillId="33" borderId="36" xfId="52" applyFill="1" applyBorder="1" applyAlignment="1">
      <alignment horizontal="center" vertical="top"/>
      <protection/>
    </xf>
    <xf numFmtId="0" fontId="0" fillId="33" borderId="23" xfId="52" applyFill="1" applyBorder="1" applyAlignment="1">
      <alignment horizontal="center" vertical="center"/>
      <protection/>
    </xf>
    <xf numFmtId="0" fontId="0" fillId="33" borderId="26" xfId="52" applyFill="1" applyBorder="1" applyAlignment="1">
      <alignment horizontal="left" vertical="center" wrapText="1"/>
      <protection/>
    </xf>
    <xf numFmtId="4" fontId="0" fillId="33" borderId="26" xfId="52" applyNumberFormat="1" applyFill="1" applyBorder="1" applyAlignment="1">
      <alignment horizontal="center" vertical="center"/>
      <protection/>
    </xf>
    <xf numFmtId="0" fontId="0" fillId="33" borderId="26" xfId="52" applyFill="1" applyBorder="1" applyAlignment="1">
      <alignment horizontal="center" vertical="center"/>
      <protection/>
    </xf>
    <xf numFmtId="4" fontId="0" fillId="33" borderId="27" xfId="52" applyNumberFormat="1" applyFill="1" applyBorder="1" applyAlignment="1">
      <alignment horizontal="center" vertical="center"/>
      <protection/>
    </xf>
    <xf numFmtId="4" fontId="0" fillId="33" borderId="12" xfId="52" applyNumberFormat="1" applyFont="1" applyFill="1" applyBorder="1" applyAlignment="1">
      <alignment horizontal="center"/>
      <protection/>
    </xf>
    <xf numFmtId="0" fontId="0" fillId="33" borderId="35" xfId="52" applyFill="1" applyBorder="1" applyAlignment="1">
      <alignment horizontal="center" vertical="center"/>
      <protection/>
    </xf>
    <xf numFmtId="0" fontId="0" fillId="33" borderId="28" xfId="52" applyFont="1" applyFill="1" applyBorder="1" applyAlignment="1">
      <alignment horizontal="left"/>
      <protection/>
    </xf>
    <xf numFmtId="174" fontId="0" fillId="33" borderId="28" xfId="52" applyNumberFormat="1" applyFill="1" applyBorder="1" applyAlignment="1">
      <alignment horizontal="center" vertical="center"/>
      <protection/>
    </xf>
    <xf numFmtId="0" fontId="0" fillId="33" borderId="28" xfId="52" applyFill="1" applyBorder="1" applyAlignment="1">
      <alignment horizontal="center" vertical="center"/>
      <protection/>
    </xf>
    <xf numFmtId="4" fontId="0" fillId="33" borderId="28" xfId="52" applyNumberFormat="1" applyFont="1" applyFill="1" applyBorder="1" applyAlignment="1">
      <alignment horizontal="center" vertical="center"/>
      <protection/>
    </xf>
    <xf numFmtId="4" fontId="0" fillId="33" borderId="29" xfId="52" applyNumberFormat="1" applyFill="1" applyBorder="1" applyAlignment="1">
      <alignment horizontal="center" vertical="center"/>
      <protection/>
    </xf>
    <xf numFmtId="4" fontId="0" fillId="33" borderId="30" xfId="52" applyNumberFormat="1" applyFont="1" applyFill="1" applyBorder="1" applyAlignment="1">
      <alignment horizontal="center"/>
      <protection/>
    </xf>
    <xf numFmtId="174" fontId="0" fillId="33" borderId="26" xfId="52" applyNumberFormat="1" applyFill="1" applyBorder="1" applyAlignment="1">
      <alignment horizontal="center"/>
      <protection/>
    </xf>
    <xf numFmtId="4" fontId="0" fillId="33" borderId="26" xfId="52" applyNumberFormat="1" applyFill="1" applyBorder="1" applyAlignment="1">
      <alignment horizontal="center"/>
      <protection/>
    </xf>
    <xf numFmtId="4" fontId="0" fillId="33" borderId="27" xfId="52" applyNumberFormat="1" applyFill="1" applyBorder="1" applyAlignment="1">
      <alignment horizontal="center"/>
      <protection/>
    </xf>
    <xf numFmtId="0" fontId="9" fillId="33" borderId="17" xfId="52" applyFont="1" applyFill="1" applyBorder="1">
      <alignment/>
      <protection/>
    </xf>
    <xf numFmtId="181" fontId="9" fillId="33" borderId="48" xfId="52" applyNumberFormat="1" applyFont="1" applyFill="1" applyBorder="1" applyAlignment="1">
      <alignment horizontal="center"/>
      <protection/>
    </xf>
    <xf numFmtId="0" fontId="0" fillId="42" borderId="50" xfId="52" applyFont="1" applyFill="1" applyBorder="1">
      <alignment/>
      <protection/>
    </xf>
    <xf numFmtId="0" fontId="0" fillId="42" borderId="0" xfId="52" applyFont="1" applyFill="1" applyBorder="1">
      <alignment/>
      <protection/>
    </xf>
    <xf numFmtId="17" fontId="0" fillId="33" borderId="52" xfId="52" applyNumberFormat="1" applyFill="1" applyBorder="1" applyAlignment="1">
      <alignment horizontal="center"/>
      <protection/>
    </xf>
    <xf numFmtId="0" fontId="0" fillId="33" borderId="52" xfId="52" applyFill="1" applyBorder="1">
      <alignment/>
      <protection/>
    </xf>
    <xf numFmtId="181" fontId="0" fillId="33" borderId="52" xfId="52" applyNumberFormat="1" applyFont="1" applyFill="1" applyBorder="1" applyAlignment="1">
      <alignment horizontal="center"/>
      <protection/>
    </xf>
    <xf numFmtId="0" fontId="0" fillId="33" borderId="37" xfId="52" applyFill="1" applyBorder="1" applyAlignment="1">
      <alignment horizontal="center"/>
      <protection/>
    </xf>
    <xf numFmtId="0" fontId="0" fillId="33" borderId="40" xfId="52" applyFill="1" applyBorder="1" applyAlignment="1">
      <alignment horizontal="center"/>
      <protection/>
    </xf>
    <xf numFmtId="0" fontId="0" fillId="42" borderId="57" xfId="52" applyFill="1" applyBorder="1" applyAlignment="1">
      <alignment horizontal="center"/>
      <protection/>
    </xf>
    <xf numFmtId="4" fontId="0" fillId="33" borderId="56" xfId="52" applyNumberFormat="1" applyFill="1" applyBorder="1" applyAlignment="1">
      <alignment horizontal="center"/>
      <protection/>
    </xf>
    <xf numFmtId="0" fontId="13" fillId="33" borderId="62" xfId="52" applyFont="1" applyFill="1" applyBorder="1" applyAlignment="1">
      <alignment horizontal="center" vertical="center"/>
      <protection/>
    </xf>
    <xf numFmtId="4" fontId="0" fillId="33" borderId="79" xfId="52" applyNumberFormat="1" applyFont="1" applyFill="1" applyBorder="1" applyAlignment="1">
      <alignment horizontal="center" vertical="center"/>
      <protection/>
    </xf>
    <xf numFmtId="0" fontId="0" fillId="33" borderId="50" xfId="52" applyFill="1" applyBorder="1" applyAlignment="1">
      <alignment horizontal="center" vertical="center"/>
      <protection/>
    </xf>
    <xf numFmtId="4" fontId="0" fillId="33" borderId="52" xfId="52" applyNumberFormat="1" applyFill="1" applyBorder="1" applyAlignment="1">
      <alignment horizontal="center" vertical="center"/>
      <protection/>
    </xf>
    <xf numFmtId="4" fontId="0" fillId="33" borderId="52" xfId="52" applyNumberFormat="1" applyFill="1" applyBorder="1" applyAlignment="1">
      <alignment horizontal="center"/>
      <protection/>
    </xf>
    <xf numFmtId="0" fontId="0" fillId="33" borderId="73" xfId="52" applyFill="1" applyBorder="1" applyAlignment="1">
      <alignment horizontal="center"/>
      <protection/>
    </xf>
    <xf numFmtId="4" fontId="0" fillId="33" borderId="82" xfId="52" applyNumberFormat="1" applyFill="1" applyBorder="1" applyAlignment="1">
      <alignment horizontal="center"/>
      <protection/>
    </xf>
    <xf numFmtId="0" fontId="0" fillId="0" borderId="0" xfId="52" applyBorder="1">
      <alignment/>
      <protection/>
    </xf>
    <xf numFmtId="39" fontId="9" fillId="33" borderId="0" xfId="52" applyNumberFormat="1" applyFont="1" applyFill="1" applyBorder="1">
      <alignment/>
      <protection/>
    </xf>
    <xf numFmtId="2" fontId="9" fillId="33" borderId="0" xfId="52" applyNumberFormat="1" applyFont="1" applyFill="1" applyBorder="1">
      <alignment/>
      <protection/>
    </xf>
    <xf numFmtId="0" fontId="0" fillId="33" borderId="56" xfId="52" applyFill="1" applyBorder="1" applyAlignment="1">
      <alignment horizontal="center"/>
      <protection/>
    </xf>
    <xf numFmtId="184" fontId="49" fillId="0" borderId="56" xfId="0" applyNumberFormat="1" applyFont="1" applyBorder="1" applyAlignment="1">
      <alignment horizontal="right" wrapText="1"/>
    </xf>
    <xf numFmtId="181" fontId="0" fillId="0" borderId="0" xfId="0" applyNumberFormat="1" applyFont="1" applyAlignment="1">
      <alignment/>
    </xf>
    <xf numFmtId="2" fontId="48" fillId="0" borderId="62" xfId="0" applyNumberFormat="1" applyFont="1" applyBorder="1" applyAlignment="1">
      <alignment horizontal="center" vertical="top"/>
    </xf>
    <xf numFmtId="0" fontId="48" fillId="0" borderId="63" xfId="0" applyNumberFormat="1" applyFont="1" applyBorder="1" applyAlignment="1">
      <alignment horizontal="center" wrapText="1"/>
    </xf>
    <xf numFmtId="4" fontId="48" fillId="0" borderId="63" xfId="0" applyNumberFormat="1" applyFont="1" applyBorder="1" applyAlignment="1">
      <alignment horizontal="right" wrapText="1"/>
    </xf>
    <xf numFmtId="10" fontId="48" fillId="0" borderId="63" xfId="0" applyNumberFormat="1" applyFont="1" applyBorder="1" applyAlignment="1">
      <alignment horizontal="right" wrapText="1"/>
    </xf>
    <xf numFmtId="186" fontId="48" fillId="0" borderId="63" xfId="0" applyNumberFormat="1" applyFont="1" applyBorder="1" applyAlignment="1">
      <alignment horizontal="right" wrapText="1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9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" fillId="0" borderId="14" xfId="52" applyFont="1" applyBorder="1" applyAlignment="1">
      <alignment horizontal="left"/>
      <protection/>
    </xf>
    <xf numFmtId="0" fontId="2" fillId="0" borderId="76" xfId="52" applyFont="1" applyBorder="1" applyAlignment="1">
      <alignment horizontal="left"/>
      <protection/>
    </xf>
    <xf numFmtId="0" fontId="23" fillId="0" borderId="0" xfId="52" applyFont="1" applyBorder="1" applyAlignment="1">
      <alignment horizontal="center"/>
      <protection/>
    </xf>
    <xf numFmtId="0" fontId="10" fillId="0" borderId="35" xfId="52" applyNumberFormat="1" applyFont="1" applyFill="1" applyBorder="1" applyAlignment="1">
      <alignment horizontal="center" vertical="center" wrapText="1"/>
      <protection/>
    </xf>
    <xf numFmtId="0" fontId="10" fillId="0" borderId="58" xfId="52" applyNumberFormat="1" applyFont="1" applyFill="1" applyBorder="1" applyAlignment="1">
      <alignment horizontal="center" vertical="center" wrapText="1"/>
      <protection/>
    </xf>
    <xf numFmtId="0" fontId="10" fillId="0" borderId="47" xfId="52" applyFont="1" applyFill="1" applyBorder="1" applyAlignment="1">
      <alignment horizontal="center" vertical="center" wrapText="1"/>
      <protection/>
    </xf>
    <xf numFmtId="0" fontId="10" fillId="0" borderId="53" xfId="52" applyFont="1" applyFill="1" applyBorder="1" applyAlignment="1">
      <alignment horizontal="center" vertical="center" wrapText="1"/>
      <protection/>
    </xf>
    <xf numFmtId="0" fontId="10" fillId="0" borderId="23" xfId="52" applyNumberFormat="1" applyFont="1" applyFill="1" applyBorder="1" applyAlignment="1">
      <alignment horizontal="center" vertical="center" wrapText="1"/>
      <protection/>
    </xf>
    <xf numFmtId="0" fontId="10" fillId="0" borderId="42" xfId="52" applyNumberFormat="1" applyFont="1" applyFill="1" applyBorder="1" applyAlignment="1">
      <alignment horizontal="center" vertical="center" wrapText="1"/>
      <protection/>
    </xf>
    <xf numFmtId="0" fontId="0" fillId="33" borderId="53" xfId="52" applyFill="1" applyBorder="1" applyAlignment="1">
      <alignment horizontal="center"/>
      <protection/>
    </xf>
    <xf numFmtId="0" fontId="0" fillId="33" borderId="24" xfId="52" applyFill="1" applyBorder="1" applyAlignment="1">
      <alignment horizontal="center"/>
      <protection/>
    </xf>
    <xf numFmtId="0" fontId="0" fillId="33" borderId="49" xfId="52" applyFill="1" applyBorder="1" applyAlignment="1">
      <alignment horizontal="center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29" xfId="52" applyFont="1" applyFill="1" applyBorder="1" applyAlignment="1">
      <alignment horizontal="center" vertical="center" wrapText="1"/>
      <protection/>
    </xf>
    <xf numFmtId="175" fontId="1" fillId="33" borderId="83" xfId="52" applyNumberFormat="1" applyFont="1" applyFill="1" applyBorder="1" applyAlignment="1">
      <alignment horizontal="center" vertical="top" wrapText="1"/>
      <protection/>
    </xf>
    <xf numFmtId="175" fontId="1" fillId="33" borderId="59" xfId="52" applyNumberFormat="1" applyFont="1" applyFill="1" applyBorder="1" applyAlignment="1">
      <alignment horizontal="center" vertical="top" wrapText="1"/>
      <protection/>
    </xf>
    <xf numFmtId="175" fontId="1" fillId="33" borderId="61" xfId="52" applyNumberFormat="1" applyFont="1" applyFill="1" applyBorder="1" applyAlignment="1">
      <alignment horizontal="center" vertical="top" wrapText="1"/>
      <protection/>
    </xf>
    <xf numFmtId="0" fontId="0" fillId="33" borderId="83" xfId="52" applyFont="1" applyFill="1" applyBorder="1" applyAlignment="1">
      <alignment horizontal="left"/>
      <protection/>
    </xf>
    <xf numFmtId="0" fontId="0" fillId="33" borderId="59" xfId="52" applyFill="1" applyBorder="1" applyAlignment="1">
      <alignment horizontal="left"/>
      <protection/>
    </xf>
    <xf numFmtId="0" fontId="0" fillId="33" borderId="60" xfId="52" applyFill="1" applyBorder="1" applyAlignment="1">
      <alignment horizontal="left"/>
      <protection/>
    </xf>
    <xf numFmtId="0" fontId="2" fillId="33" borderId="5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52" xfId="52" applyFont="1" applyFill="1" applyBorder="1" applyAlignment="1">
      <alignment horizontal="center"/>
      <protection/>
    </xf>
    <xf numFmtId="49" fontId="0" fillId="33" borderId="41" xfId="52" applyNumberFormat="1" applyFill="1" applyBorder="1" applyAlignment="1">
      <alignment horizontal="left"/>
      <protection/>
    </xf>
    <xf numFmtId="49" fontId="0" fillId="33" borderId="84" xfId="52" applyNumberFormat="1" applyFill="1" applyBorder="1" applyAlignment="1">
      <alignment horizontal="left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4" xfId="52" applyFont="1" applyFill="1" applyBorder="1" applyAlignment="1">
      <alignment horizontal="center" vertical="center" wrapText="1"/>
      <protection/>
    </xf>
    <xf numFmtId="0" fontId="10" fillId="0" borderId="54" xfId="52" applyFont="1" applyFill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0" fillId="33" borderId="50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52" xfId="52" applyFill="1" applyBorder="1" applyAlignment="1">
      <alignment horizontal="center"/>
      <protection/>
    </xf>
    <xf numFmtId="49" fontId="0" fillId="33" borderId="55" xfId="52" applyNumberFormat="1" applyFill="1" applyBorder="1" applyAlignment="1">
      <alignment horizontal="left"/>
      <protection/>
    </xf>
    <xf numFmtId="49" fontId="0" fillId="33" borderId="56" xfId="52" applyNumberFormat="1" applyFill="1" applyBorder="1" applyAlignment="1">
      <alignment horizontal="left"/>
      <protection/>
    </xf>
    <xf numFmtId="0" fontId="19" fillId="0" borderId="0" xfId="56" applyFont="1" applyBorder="1" applyAlignment="1">
      <alignment horizontal="center"/>
      <protection/>
    </xf>
    <xf numFmtId="0" fontId="23" fillId="0" borderId="17" xfId="56" applyFont="1" applyBorder="1" applyAlignment="1">
      <alignment horizontal="center"/>
      <protection/>
    </xf>
    <xf numFmtId="0" fontId="22" fillId="0" borderId="13" xfId="56" applyFont="1" applyBorder="1" applyAlignment="1">
      <alignment horizontal="center"/>
      <protection/>
    </xf>
    <xf numFmtId="0" fontId="22" fillId="0" borderId="14" xfId="56" applyFont="1" applyBorder="1" applyAlignment="1">
      <alignment horizontal="center"/>
      <protection/>
    </xf>
    <xf numFmtId="0" fontId="22" fillId="0" borderId="76" xfId="56" applyFont="1" applyBorder="1" applyAlignment="1">
      <alignment horizontal="center"/>
      <protection/>
    </xf>
    <xf numFmtId="49" fontId="21" fillId="0" borderId="13" xfId="56" applyNumberFormat="1" applyFont="1" applyBorder="1" applyAlignment="1">
      <alignment horizontal="center"/>
      <protection/>
    </xf>
    <xf numFmtId="49" fontId="21" fillId="0" borderId="14" xfId="56" applyNumberFormat="1" applyFont="1" applyBorder="1" applyAlignment="1">
      <alignment horizontal="center"/>
      <protection/>
    </xf>
    <xf numFmtId="49" fontId="21" fillId="0" borderId="76" xfId="56" applyNumberFormat="1" applyFont="1" applyBorder="1" applyAlignment="1">
      <alignment horizontal="center"/>
      <protection/>
    </xf>
    <xf numFmtId="0" fontId="18" fillId="0" borderId="13" xfId="57" applyFont="1" applyBorder="1" applyAlignment="1">
      <alignment horizontal="center"/>
      <protection/>
    </xf>
    <xf numFmtId="0" fontId="18" fillId="0" borderId="14" xfId="57" applyFont="1" applyBorder="1" applyAlignment="1">
      <alignment horizontal="center"/>
      <protection/>
    </xf>
    <xf numFmtId="0" fontId="18" fillId="0" borderId="76" xfId="57" applyFont="1" applyBorder="1" applyAlignment="1">
      <alignment horizontal="center"/>
      <protection/>
    </xf>
    <xf numFmtId="0" fontId="31" fillId="40" borderId="36" xfId="53" applyFont="1" applyFill="1" applyBorder="1" applyAlignment="1">
      <alignment horizontal="left"/>
      <protection/>
    </xf>
    <xf numFmtId="0" fontId="31" fillId="40" borderId="12" xfId="53" applyFont="1" applyFill="1" applyBorder="1" applyAlignment="1">
      <alignment horizontal="left"/>
      <protection/>
    </xf>
    <xf numFmtId="0" fontId="31" fillId="41" borderId="23" xfId="53" applyFont="1" applyFill="1" applyBorder="1" applyAlignment="1">
      <alignment horizontal="left"/>
      <protection/>
    </xf>
    <xf numFmtId="0" fontId="31" fillId="41" borderId="26" xfId="53" applyFont="1" applyFill="1" applyBorder="1" applyAlignment="1">
      <alignment horizontal="left"/>
      <protection/>
    </xf>
    <xf numFmtId="170" fontId="31" fillId="0" borderId="57" xfId="47" applyFont="1" applyBorder="1" applyAlignment="1">
      <alignment horizontal="left"/>
    </xf>
    <xf numFmtId="170" fontId="31" fillId="0" borderId="55" xfId="47" applyFont="1" applyBorder="1" applyAlignment="1">
      <alignment horizontal="left"/>
    </xf>
    <xf numFmtId="170" fontId="31" fillId="0" borderId="45" xfId="47" applyFont="1" applyBorder="1" applyAlignment="1">
      <alignment horizontal="left"/>
    </xf>
    <xf numFmtId="170" fontId="31" fillId="0" borderId="36" xfId="47" applyFont="1" applyBorder="1" applyAlignment="1">
      <alignment horizontal="left"/>
    </xf>
    <xf numFmtId="170" fontId="31" fillId="0" borderId="12" xfId="47" applyFont="1" applyBorder="1" applyAlignment="1">
      <alignment horizontal="left"/>
    </xf>
    <xf numFmtId="170" fontId="31" fillId="0" borderId="41" xfId="47" applyFont="1" applyBorder="1" applyAlignment="1">
      <alignment horizontal="left"/>
    </xf>
    <xf numFmtId="170" fontId="31" fillId="0" borderId="23" xfId="47" applyFont="1" applyBorder="1" applyAlignment="1">
      <alignment horizontal="left"/>
    </xf>
    <xf numFmtId="170" fontId="31" fillId="0" borderId="26" xfId="47" applyFont="1" applyBorder="1" applyAlignment="1">
      <alignment horizontal="left"/>
    </xf>
    <xf numFmtId="170" fontId="31" fillId="0" borderId="42" xfId="47" applyFont="1" applyBorder="1" applyAlignment="1">
      <alignment horizontal="left"/>
    </xf>
    <xf numFmtId="0" fontId="31" fillId="0" borderId="36" xfId="53" applyFont="1" applyBorder="1" applyAlignment="1">
      <alignment horizontal="left"/>
      <protection/>
    </xf>
    <xf numFmtId="0" fontId="31" fillId="0" borderId="12" xfId="53" applyFont="1" applyBorder="1" applyAlignment="1">
      <alignment horizontal="left"/>
      <protection/>
    </xf>
    <xf numFmtId="0" fontId="31" fillId="38" borderId="36" xfId="53" applyFont="1" applyFill="1" applyBorder="1" applyAlignment="1">
      <alignment horizontal="left"/>
      <protection/>
    </xf>
    <xf numFmtId="0" fontId="31" fillId="38" borderId="12" xfId="53" applyFont="1" applyFill="1" applyBorder="1" applyAlignment="1">
      <alignment horizontal="left"/>
      <protection/>
    </xf>
    <xf numFmtId="0" fontId="31" fillId="39" borderId="36" xfId="53" applyFont="1" applyFill="1" applyBorder="1" applyAlignment="1">
      <alignment horizontal="left"/>
      <protection/>
    </xf>
    <xf numFmtId="0" fontId="31" fillId="39" borderId="12" xfId="53" applyFont="1" applyFill="1" applyBorder="1" applyAlignment="1">
      <alignment horizontal="left"/>
      <protection/>
    </xf>
    <xf numFmtId="0" fontId="20" fillId="0" borderId="0" xfId="56" applyFont="1" applyBorder="1" applyAlignment="1">
      <alignment horizontal="center"/>
      <protection/>
    </xf>
    <xf numFmtId="0" fontId="31" fillId="41" borderId="36" xfId="53" applyFont="1" applyFill="1" applyBorder="1" applyAlignment="1">
      <alignment horizontal="left"/>
      <protection/>
    </xf>
    <xf numFmtId="0" fontId="31" fillId="41" borderId="12" xfId="53" applyFont="1" applyFill="1" applyBorder="1" applyAlignment="1">
      <alignment horizontal="left"/>
      <protection/>
    </xf>
    <xf numFmtId="0" fontId="31" fillId="36" borderId="36" xfId="53" applyFont="1" applyFill="1" applyBorder="1" applyAlignment="1">
      <alignment horizontal="left"/>
      <protection/>
    </xf>
    <xf numFmtId="0" fontId="31" fillId="36" borderId="12" xfId="53" applyFont="1" applyFill="1" applyBorder="1" applyAlignment="1">
      <alignment horizontal="left"/>
      <protection/>
    </xf>
    <xf numFmtId="0" fontId="31" fillId="37" borderId="36" xfId="53" applyFont="1" applyFill="1" applyBorder="1" applyAlignment="1">
      <alignment horizontal="left"/>
      <protection/>
    </xf>
    <xf numFmtId="0" fontId="31" fillId="37" borderId="12" xfId="53" applyFont="1" applyFill="1" applyBorder="1" applyAlignment="1">
      <alignment horizontal="left"/>
      <protection/>
    </xf>
    <xf numFmtId="49" fontId="2" fillId="0" borderId="13" xfId="56" applyNumberFormat="1" applyFont="1" applyBorder="1" applyAlignment="1">
      <alignment horizontal="center"/>
      <protection/>
    </xf>
    <xf numFmtId="49" fontId="2" fillId="0" borderId="14" xfId="56" applyNumberFormat="1" applyFont="1" applyBorder="1" applyAlignment="1">
      <alignment horizontal="center"/>
      <protection/>
    </xf>
    <xf numFmtId="0" fontId="34" fillId="0" borderId="14" xfId="56" applyFont="1" applyBorder="1" applyAlignment="1">
      <alignment horizontal="left"/>
      <protection/>
    </xf>
    <xf numFmtId="0" fontId="34" fillId="0" borderId="76" xfId="56" applyFont="1" applyBorder="1" applyAlignment="1">
      <alignment horizontal="left"/>
      <protection/>
    </xf>
    <xf numFmtId="0" fontId="18" fillId="0" borderId="0" xfId="57" applyFont="1" applyBorder="1" applyAlignment="1">
      <alignment horizontal="center"/>
      <protection/>
    </xf>
    <xf numFmtId="0" fontId="28" fillId="0" borderId="0" xfId="56" applyFont="1" applyBorder="1" applyAlignment="1">
      <alignment horizontal="center"/>
      <protection/>
    </xf>
    <xf numFmtId="0" fontId="18" fillId="0" borderId="47" xfId="53" applyFont="1" applyFill="1" applyBorder="1" applyAlignment="1">
      <alignment horizontal="center" vertical="center"/>
      <protection/>
    </xf>
    <xf numFmtId="0" fontId="18" fillId="0" borderId="85" xfId="53" applyFont="1" applyFill="1" applyBorder="1" applyAlignment="1">
      <alignment horizontal="center" vertical="center"/>
      <protection/>
    </xf>
    <xf numFmtId="0" fontId="30" fillId="0" borderId="86" xfId="53" applyFont="1" applyBorder="1" applyAlignment="1">
      <alignment horizontal="center"/>
      <protection/>
    </xf>
    <xf numFmtId="0" fontId="30" fillId="0" borderId="39" xfId="53" applyFont="1" applyBorder="1" applyAlignment="1">
      <alignment horizontal="center"/>
      <protection/>
    </xf>
    <xf numFmtId="0" fontId="30" fillId="0" borderId="81" xfId="53" applyFont="1" applyBorder="1" applyAlignment="1">
      <alignment horizontal="center"/>
      <protection/>
    </xf>
    <xf numFmtId="0" fontId="30" fillId="0" borderId="80" xfId="53" applyFont="1" applyBorder="1" applyAlignment="1">
      <alignment horizontal="center"/>
      <protection/>
    </xf>
    <xf numFmtId="0" fontId="30" fillId="0" borderId="68" xfId="53" applyFont="1" applyBorder="1" applyAlignment="1">
      <alignment horizontal="center"/>
      <protection/>
    </xf>
    <xf numFmtId="0" fontId="31" fillId="37" borderId="35" xfId="53" applyFont="1" applyFill="1" applyBorder="1" applyAlignment="1">
      <alignment horizontal="left"/>
      <protection/>
    </xf>
    <xf numFmtId="0" fontId="31" fillId="37" borderId="28" xfId="53" applyFont="1" applyFill="1" applyBorder="1" applyAlignment="1">
      <alignment horizontal="left"/>
      <protection/>
    </xf>
    <xf numFmtId="0" fontId="31" fillId="0" borderId="37" xfId="53" applyFont="1" applyBorder="1" applyAlignment="1">
      <alignment horizontal="left"/>
      <protection/>
    </xf>
    <xf numFmtId="0" fontId="31" fillId="0" borderId="38" xfId="53" applyFont="1" applyBorder="1" applyAlignment="1">
      <alignment horizontal="left"/>
      <protection/>
    </xf>
    <xf numFmtId="170" fontId="31" fillId="0" borderId="87" xfId="47" applyFont="1" applyBorder="1" applyAlignment="1">
      <alignment horizontal="left"/>
    </xf>
    <xf numFmtId="170" fontId="31" fillId="0" borderId="25" xfId="47" applyFont="1" applyBorder="1" applyAlignment="1">
      <alignment horizontal="left"/>
    </xf>
    <xf numFmtId="39" fontId="31" fillId="0" borderId="54" xfId="47" applyNumberFormat="1" applyFont="1" applyBorder="1" applyAlignment="1">
      <alignment horizontal="right" vertical="center"/>
    </xf>
    <xf numFmtId="39" fontId="31" fillId="0" borderId="34" xfId="47" applyNumberFormat="1" applyFont="1" applyBorder="1" applyAlignment="1">
      <alignment horizontal="right" vertical="center"/>
    </xf>
    <xf numFmtId="170" fontId="31" fillId="0" borderId="47" xfId="47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170" fontId="31" fillId="0" borderId="71" xfId="47" applyFont="1" applyBorder="1" applyAlignment="1">
      <alignment horizontal="left"/>
    </xf>
    <xf numFmtId="0" fontId="31" fillId="39" borderId="87" xfId="53" applyFont="1" applyFill="1" applyBorder="1" applyAlignment="1">
      <alignment horizontal="left"/>
      <protection/>
    </xf>
    <xf numFmtId="0" fontId="30" fillId="0" borderId="54" xfId="53" applyFont="1" applyBorder="1" applyAlignment="1">
      <alignment horizontal="center"/>
      <protection/>
    </xf>
    <xf numFmtId="0" fontId="30" fillId="0" borderId="19" xfId="53" applyFont="1" applyBorder="1" applyAlignment="1">
      <alignment horizontal="center"/>
      <protection/>
    </xf>
    <xf numFmtId="0" fontId="30" fillId="0" borderId="34" xfId="53" applyFont="1" applyBorder="1" applyAlignment="1">
      <alignment horizontal="center"/>
      <protection/>
    </xf>
    <xf numFmtId="0" fontId="31" fillId="41" borderId="37" xfId="53" applyFont="1" applyFill="1" applyBorder="1" applyAlignment="1">
      <alignment horizontal="left"/>
      <protection/>
    </xf>
    <xf numFmtId="0" fontId="31" fillId="41" borderId="38" xfId="53" applyFont="1" applyFill="1" applyBorder="1" applyAlignment="1">
      <alignment horizontal="left"/>
      <protection/>
    </xf>
    <xf numFmtId="0" fontId="31" fillId="37" borderId="71" xfId="53" applyFont="1" applyFill="1" applyBorder="1" applyAlignment="1">
      <alignment horizontal="left"/>
      <protection/>
    </xf>
    <xf numFmtId="0" fontId="31" fillId="37" borderId="55" xfId="53" applyFont="1" applyFill="1" applyBorder="1" applyAlignment="1">
      <alignment horizontal="left"/>
      <protection/>
    </xf>
    <xf numFmtId="0" fontId="31" fillId="37" borderId="87" xfId="53" applyFont="1" applyFill="1" applyBorder="1" applyAlignment="1">
      <alignment horizontal="left"/>
      <protection/>
    </xf>
    <xf numFmtId="0" fontId="31" fillId="0" borderId="35" xfId="53" applyFont="1" applyBorder="1" applyAlignment="1">
      <alignment horizontal="left"/>
      <protection/>
    </xf>
    <xf numFmtId="0" fontId="31" fillId="0" borderId="28" xfId="53" applyFont="1" applyBorder="1" applyAlignment="1">
      <alignment horizontal="left"/>
      <protection/>
    </xf>
    <xf numFmtId="0" fontId="31" fillId="38" borderId="87" xfId="53" applyFont="1" applyFill="1" applyBorder="1" applyAlignment="1">
      <alignment horizontal="left"/>
      <protection/>
    </xf>
    <xf numFmtId="0" fontId="17" fillId="0" borderId="13" xfId="53" applyBorder="1" applyAlignment="1">
      <alignment horizontal="center"/>
      <protection/>
    </xf>
    <xf numFmtId="0" fontId="17" fillId="0" borderId="14" xfId="53" applyBorder="1" applyAlignment="1">
      <alignment horizontal="center"/>
      <protection/>
    </xf>
    <xf numFmtId="0" fontId="17" fillId="0" borderId="76" xfId="53" applyBorder="1" applyAlignment="1">
      <alignment horizontal="center"/>
      <protection/>
    </xf>
    <xf numFmtId="0" fontId="17" fillId="0" borderId="54" xfId="53" applyBorder="1" applyAlignment="1">
      <alignment horizontal="center"/>
      <protection/>
    </xf>
    <xf numFmtId="0" fontId="17" fillId="0" borderId="19" xfId="53" applyBorder="1" applyAlignment="1">
      <alignment horizontal="center"/>
      <protection/>
    </xf>
    <xf numFmtId="0" fontId="17" fillId="0" borderId="34" xfId="53" applyBorder="1" applyAlignment="1">
      <alignment horizontal="center"/>
      <protection/>
    </xf>
    <xf numFmtId="0" fontId="31" fillId="41" borderId="87" xfId="53" applyFont="1" applyFill="1" applyBorder="1" applyAlignment="1">
      <alignment horizontal="left"/>
      <protection/>
    </xf>
    <xf numFmtId="0" fontId="31" fillId="40" borderId="87" xfId="53" applyFont="1" applyFill="1" applyBorder="1" applyAlignment="1">
      <alignment horizontal="left"/>
      <protection/>
    </xf>
    <xf numFmtId="0" fontId="31" fillId="41" borderId="64" xfId="53" applyFont="1" applyFill="1" applyBorder="1" applyAlignment="1">
      <alignment horizontal="left"/>
      <protection/>
    </xf>
    <xf numFmtId="0" fontId="31" fillId="36" borderId="87" xfId="53" applyFont="1" applyFill="1" applyBorder="1" applyAlignment="1">
      <alignment horizontal="left"/>
      <protection/>
    </xf>
    <xf numFmtId="0" fontId="31" fillId="0" borderId="87" xfId="53" applyFont="1" applyBorder="1" applyAlignment="1">
      <alignment horizontal="left"/>
      <protection/>
    </xf>
    <xf numFmtId="0" fontId="12" fillId="42" borderId="50" xfId="0" applyFont="1" applyFill="1" applyBorder="1" applyAlignment="1">
      <alignment horizontal="center"/>
    </xf>
    <xf numFmtId="0" fontId="12" fillId="42" borderId="52" xfId="0" applyFont="1" applyFill="1" applyBorder="1" applyAlignment="1">
      <alignment horizontal="center"/>
    </xf>
    <xf numFmtId="0" fontId="12" fillId="42" borderId="50" xfId="0" applyFont="1" applyFill="1" applyBorder="1" applyAlignment="1">
      <alignment horizontal="left"/>
    </xf>
    <xf numFmtId="0" fontId="12" fillId="42" borderId="0" xfId="0" applyFont="1" applyFill="1" applyBorder="1" applyAlignment="1">
      <alignment horizontal="left"/>
    </xf>
    <xf numFmtId="0" fontId="12" fillId="42" borderId="52" xfId="0" applyFont="1" applyFill="1" applyBorder="1" applyAlignment="1">
      <alignment horizontal="left"/>
    </xf>
    <xf numFmtId="0" fontId="35" fillId="42" borderId="50" xfId="0" applyFont="1" applyFill="1" applyBorder="1" applyAlignment="1">
      <alignment horizontal="center"/>
    </xf>
    <xf numFmtId="0" fontId="35" fillId="42" borderId="0" xfId="0" applyFont="1" applyFill="1" applyBorder="1" applyAlignment="1">
      <alignment horizontal="center"/>
    </xf>
    <xf numFmtId="0" fontId="35" fillId="42" borderId="52" xfId="0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center"/>
    </xf>
    <xf numFmtId="171" fontId="4" fillId="42" borderId="30" xfId="0" applyNumberFormat="1" applyFont="1" applyFill="1" applyBorder="1" applyAlignment="1">
      <alignment horizontal="center"/>
    </xf>
    <xf numFmtId="0" fontId="40" fillId="42" borderId="50" xfId="0" applyFont="1" applyFill="1" applyBorder="1" applyAlignment="1">
      <alignment horizontal="center"/>
    </xf>
    <xf numFmtId="0" fontId="40" fillId="42" borderId="52" xfId="0" applyFont="1" applyFill="1" applyBorder="1" applyAlignment="1">
      <alignment horizontal="center"/>
    </xf>
    <xf numFmtId="0" fontId="12" fillId="42" borderId="47" xfId="0" applyFont="1" applyFill="1" applyBorder="1" applyAlignment="1">
      <alignment horizontal="center"/>
    </xf>
    <xf numFmtId="0" fontId="12" fillId="42" borderId="48" xfId="0" applyFont="1" applyFill="1" applyBorder="1" applyAlignment="1">
      <alignment horizontal="center"/>
    </xf>
    <xf numFmtId="171" fontId="4" fillId="42" borderId="41" xfId="0" applyNumberFormat="1" applyFont="1" applyFill="1" applyBorder="1" applyAlignment="1">
      <alignment horizontal="center"/>
    </xf>
    <xf numFmtId="171" fontId="4" fillId="42" borderId="84" xfId="0" applyNumberFormat="1" applyFont="1" applyFill="1" applyBorder="1" applyAlignment="1">
      <alignment horizontal="center"/>
    </xf>
    <xf numFmtId="181" fontId="2" fillId="0" borderId="32" xfId="0" applyNumberFormat="1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42" borderId="53" xfId="0" applyFont="1" applyFill="1" applyBorder="1" applyAlignment="1">
      <alignment horizontal="center"/>
    </xf>
    <xf numFmtId="0" fontId="0" fillId="42" borderId="24" xfId="0" applyFont="1" applyFill="1" applyBorder="1" applyAlignment="1">
      <alignment horizontal="center"/>
    </xf>
    <xf numFmtId="0" fontId="0" fillId="42" borderId="49" xfId="0" applyFont="1" applyFill="1" applyBorder="1" applyAlignment="1">
      <alignment horizontal="center"/>
    </xf>
    <xf numFmtId="0" fontId="12" fillId="0" borderId="47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42" borderId="53" xfId="0" applyFont="1" applyFill="1" applyBorder="1" applyAlignment="1">
      <alignment horizontal="center"/>
    </xf>
    <xf numFmtId="0" fontId="12" fillId="42" borderId="4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16" fillId="42" borderId="13" xfId="0" applyNumberFormat="1" applyFont="1" applyFill="1" applyBorder="1" applyAlignment="1">
      <alignment horizontal="center"/>
    </xf>
    <xf numFmtId="4" fontId="16" fillId="42" borderId="14" xfId="0" applyNumberFormat="1" applyFont="1" applyFill="1" applyBorder="1" applyAlignment="1">
      <alignment horizontal="center"/>
    </xf>
    <xf numFmtId="4" fontId="16" fillId="42" borderId="76" xfId="0" applyNumberFormat="1" applyFont="1" applyFill="1" applyBorder="1" applyAlignment="1">
      <alignment horizontal="center"/>
    </xf>
    <xf numFmtId="171" fontId="4" fillId="42" borderId="55" xfId="0" applyNumberFormat="1" applyFont="1" applyFill="1" applyBorder="1" applyAlignment="1">
      <alignment horizontal="center"/>
    </xf>
    <xf numFmtId="171" fontId="4" fillId="42" borderId="56" xfId="0" applyNumberFormat="1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0" fontId="9" fillId="42" borderId="22" xfId="0" applyFont="1" applyFill="1" applyBorder="1" applyAlignment="1">
      <alignment horizontal="center"/>
    </xf>
    <xf numFmtId="171" fontId="4" fillId="42" borderId="28" xfId="0" applyNumberFormat="1" applyFont="1" applyFill="1" applyBorder="1" applyAlignment="1">
      <alignment horizontal="center"/>
    </xf>
    <xf numFmtId="171" fontId="4" fillId="42" borderId="29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53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71" fontId="4" fillId="42" borderId="28" xfId="0" applyNumberFormat="1" applyFont="1" applyFill="1" applyBorder="1" applyAlignment="1">
      <alignment horizontal="left"/>
    </xf>
    <xf numFmtId="171" fontId="4" fillId="42" borderId="29" xfId="0" applyNumberFormat="1" applyFont="1" applyFill="1" applyBorder="1" applyAlignment="1">
      <alignment horizontal="left"/>
    </xf>
    <xf numFmtId="171" fontId="4" fillId="42" borderId="42" xfId="0" applyNumberFormat="1" applyFont="1" applyFill="1" applyBorder="1" applyAlignment="1">
      <alignment horizontal="center"/>
    </xf>
    <xf numFmtId="171" fontId="4" fillId="42" borderId="69" xfId="0" applyNumberFormat="1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12" fillId="42" borderId="47" xfId="0" applyFont="1" applyFill="1" applyBorder="1" applyAlignment="1">
      <alignment horizontal="left"/>
    </xf>
    <xf numFmtId="0" fontId="12" fillId="42" borderId="17" xfId="0" applyFont="1" applyFill="1" applyBorder="1" applyAlignment="1">
      <alignment horizontal="left"/>
    </xf>
    <xf numFmtId="0" fontId="23" fillId="42" borderId="0" xfId="0" applyFont="1" applyFill="1" applyBorder="1" applyAlignment="1">
      <alignment horizontal="center"/>
    </xf>
    <xf numFmtId="171" fontId="4" fillId="42" borderId="65" xfId="0" applyNumberFormat="1" applyFont="1" applyFill="1" applyBorder="1" applyAlignment="1">
      <alignment horizontal="center"/>
    </xf>
    <xf numFmtId="171" fontId="4" fillId="42" borderId="79" xfId="0" applyNumberFormat="1" applyFont="1" applyFill="1" applyBorder="1" applyAlignment="1">
      <alignment horizontal="center"/>
    </xf>
    <xf numFmtId="0" fontId="39" fillId="42" borderId="24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/>
    </xf>
    <xf numFmtId="0" fontId="3" fillId="42" borderId="24" xfId="0" applyFont="1" applyFill="1" applyBorder="1" applyAlignment="1">
      <alignment horizontal="left"/>
    </xf>
    <xf numFmtId="0" fontId="10" fillId="42" borderId="36" xfId="0" applyFont="1" applyFill="1" applyBorder="1" applyAlignment="1">
      <alignment horizontal="center"/>
    </xf>
    <xf numFmtId="0" fontId="10" fillId="42" borderId="30" xfId="0" applyFont="1" applyFill="1" applyBorder="1" applyAlignment="1">
      <alignment horizontal="center"/>
    </xf>
    <xf numFmtId="0" fontId="12" fillId="42" borderId="35" xfId="0" applyFont="1" applyFill="1" applyBorder="1" applyAlignment="1">
      <alignment horizontal="center"/>
    </xf>
    <xf numFmtId="0" fontId="12" fillId="42" borderId="29" xfId="0" applyFont="1" applyFill="1" applyBorder="1" applyAlignment="1">
      <alignment horizontal="center"/>
    </xf>
    <xf numFmtId="0" fontId="10" fillId="42" borderId="53" xfId="0" applyFont="1" applyFill="1" applyBorder="1" applyAlignment="1">
      <alignment horizontal="center"/>
    </xf>
    <xf numFmtId="0" fontId="10" fillId="42" borderId="24" xfId="0" applyFont="1" applyFill="1" applyBorder="1" applyAlignment="1">
      <alignment horizontal="center"/>
    </xf>
    <xf numFmtId="0" fontId="12" fillId="42" borderId="17" xfId="0" applyFont="1" applyFill="1" applyBorder="1" applyAlignment="1">
      <alignment horizontal="center"/>
    </xf>
    <xf numFmtId="0" fontId="34" fillId="42" borderId="50" xfId="0" applyFont="1" applyFill="1" applyBorder="1" applyAlignment="1">
      <alignment horizontal="center" vertical="center" wrapText="1"/>
    </xf>
    <xf numFmtId="0" fontId="34" fillId="42" borderId="0" xfId="0" applyFont="1" applyFill="1" applyBorder="1" applyAlignment="1">
      <alignment horizontal="center" vertical="center" wrapText="1"/>
    </xf>
    <xf numFmtId="0" fontId="34" fillId="42" borderId="52" xfId="0" applyFont="1" applyFill="1" applyBorder="1" applyAlignment="1">
      <alignment horizontal="center" vertical="center" wrapText="1"/>
    </xf>
    <xf numFmtId="0" fontId="40" fillId="42" borderId="0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12" fillId="42" borderId="48" xfId="0" applyFont="1" applyFill="1" applyBorder="1" applyAlignment="1">
      <alignment horizontal="left"/>
    </xf>
    <xf numFmtId="171" fontId="4" fillId="42" borderId="37" xfId="0" applyNumberFormat="1" applyFont="1" applyFill="1" applyBorder="1" applyAlignment="1">
      <alignment horizontal="center" vertical="center"/>
    </xf>
    <xf numFmtId="171" fontId="4" fillId="42" borderId="86" xfId="0" applyNumberFormat="1" applyFont="1" applyFill="1" applyBorder="1" applyAlignment="1">
      <alignment horizontal="center" vertical="center"/>
    </xf>
    <xf numFmtId="171" fontId="4" fillId="42" borderId="57" xfId="0" applyNumberFormat="1" applyFont="1" applyFill="1" applyBorder="1" applyAlignment="1">
      <alignment horizontal="center" vertical="center"/>
    </xf>
    <xf numFmtId="171" fontId="4" fillId="42" borderId="38" xfId="0" applyNumberFormat="1" applyFont="1" applyFill="1" applyBorder="1" applyAlignment="1">
      <alignment horizontal="left" vertical="center"/>
    </xf>
    <xf numFmtId="171" fontId="4" fillId="42" borderId="39" xfId="0" applyNumberFormat="1" applyFont="1" applyFill="1" applyBorder="1" applyAlignment="1">
      <alignment horizontal="left" vertical="center"/>
    </xf>
    <xf numFmtId="171" fontId="4" fillId="42" borderId="55" xfId="0" applyNumberFormat="1" applyFont="1" applyFill="1" applyBorder="1" applyAlignment="1">
      <alignment horizontal="left" vertical="center"/>
    </xf>
    <xf numFmtId="171" fontId="4" fillId="42" borderId="38" xfId="0" applyNumberFormat="1" applyFont="1" applyFill="1" applyBorder="1" applyAlignment="1">
      <alignment horizontal="center" vertical="center"/>
    </xf>
    <xf numFmtId="171" fontId="4" fillId="42" borderId="39" xfId="0" applyNumberFormat="1" applyFont="1" applyFill="1" applyBorder="1" applyAlignment="1">
      <alignment horizontal="center" vertical="center"/>
    </xf>
    <xf numFmtId="171" fontId="4" fillId="42" borderId="55" xfId="0" applyNumberFormat="1" applyFont="1" applyFill="1" applyBorder="1" applyAlignment="1">
      <alignment horizontal="center" vertical="center"/>
    </xf>
    <xf numFmtId="171" fontId="4" fillId="42" borderId="26" xfId="0" applyNumberFormat="1" applyFont="1" applyFill="1" applyBorder="1" applyAlignment="1">
      <alignment horizontal="center"/>
    </xf>
    <xf numFmtId="171" fontId="4" fillId="42" borderId="27" xfId="0" applyNumberFormat="1" applyFont="1" applyFill="1" applyBorder="1" applyAlignment="1">
      <alignment horizontal="center"/>
    </xf>
    <xf numFmtId="0" fontId="42" fillId="0" borderId="41" xfId="0" applyFont="1" applyBorder="1" applyAlignment="1">
      <alignment horizontal="left" vertical="center" wrapText="1"/>
    </xf>
    <xf numFmtId="0" fontId="42" fillId="0" borderId="88" xfId="0" applyFont="1" applyBorder="1" applyAlignment="1">
      <alignment horizontal="left" vertical="center" wrapText="1"/>
    </xf>
    <xf numFmtId="0" fontId="42" fillId="0" borderId="84" xfId="0" applyFont="1" applyBorder="1" applyAlignment="1">
      <alignment horizontal="left" vertical="center" wrapText="1"/>
    </xf>
    <xf numFmtId="0" fontId="42" fillId="0" borderId="83" xfId="0" applyFont="1" applyBorder="1" applyAlignment="1">
      <alignment horizontal="right" vertical="center" wrapText="1"/>
    </xf>
    <xf numFmtId="0" fontId="42" fillId="0" borderId="59" xfId="0" applyFont="1" applyBorder="1" applyAlignment="1">
      <alignment horizontal="right" vertical="center" wrapText="1"/>
    </xf>
    <xf numFmtId="0" fontId="42" fillId="0" borderId="6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2" fillId="0" borderId="73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left" vertical="center" wrapText="1"/>
    </xf>
    <xf numFmtId="0" fontId="42" fillId="0" borderId="57" xfId="0" applyFont="1" applyBorder="1" applyAlignment="1">
      <alignment horizontal="left" vertical="center" wrapText="1"/>
    </xf>
    <xf numFmtId="0" fontId="42" fillId="0" borderId="65" xfId="0" applyFont="1" applyBorder="1" applyAlignment="1">
      <alignment horizontal="left" vertical="center" wrapText="1"/>
    </xf>
    <xf numFmtId="0" fontId="42" fillId="0" borderId="63" xfId="0" applyFont="1" applyBorder="1" applyAlignment="1">
      <alignment horizontal="left" vertical="center" wrapText="1"/>
    </xf>
    <xf numFmtId="0" fontId="42" fillId="0" borderId="64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71" xfId="0" applyFont="1" applyBorder="1" applyAlignment="1">
      <alignment horizontal="left" vertical="center" wrapText="1"/>
    </xf>
    <xf numFmtId="0" fontId="42" fillId="0" borderId="62" xfId="0" applyFont="1" applyBorder="1" applyAlignment="1">
      <alignment horizontal="left" vertical="center" wrapText="1"/>
    </xf>
    <xf numFmtId="0" fontId="42" fillId="0" borderId="73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47" fillId="47" borderId="72" xfId="0" applyFont="1" applyFill="1" applyBorder="1" applyAlignment="1">
      <alignment horizontal="right" vertical="top" wrapText="1"/>
    </xf>
    <xf numFmtId="0" fontId="47" fillId="47" borderId="89" xfId="0" applyFont="1" applyFill="1" applyBorder="1" applyAlignment="1">
      <alignment horizontal="right" vertical="top" wrapText="1"/>
    </xf>
    <xf numFmtId="0" fontId="47" fillId="47" borderId="25" xfId="0" applyFont="1" applyFill="1" applyBorder="1" applyAlignment="1">
      <alignment horizontal="right" vertical="top" wrapText="1"/>
    </xf>
    <xf numFmtId="0" fontId="47" fillId="0" borderId="87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justify" vertical="top" wrapText="1"/>
    </xf>
    <xf numFmtId="0" fontId="47" fillId="0" borderId="41" xfId="0" applyFont="1" applyBorder="1" applyAlignment="1">
      <alignment horizontal="justify" vertical="top" wrapText="1"/>
    </xf>
    <xf numFmtId="0" fontId="47" fillId="0" borderId="30" xfId="0" applyFont="1" applyBorder="1" applyAlignment="1">
      <alignment horizontal="justify" vertical="top" wrapText="1"/>
    </xf>
    <xf numFmtId="0" fontId="47" fillId="0" borderId="25" xfId="0" applyFont="1" applyBorder="1" applyAlignment="1">
      <alignment horizontal="justify" vertical="top" wrapText="1"/>
    </xf>
    <xf numFmtId="0" fontId="47" fillId="0" borderId="26" xfId="0" applyFont="1" applyBorder="1" applyAlignment="1">
      <alignment horizontal="justify" vertical="top" wrapText="1"/>
    </xf>
    <xf numFmtId="0" fontId="47" fillId="0" borderId="42" xfId="0" applyFont="1" applyBorder="1" applyAlignment="1">
      <alignment horizontal="justify" vertical="top" wrapText="1"/>
    </xf>
    <xf numFmtId="0" fontId="47" fillId="0" borderId="27" xfId="0" applyFont="1" applyBorder="1" applyAlignment="1">
      <alignment horizontal="justify" vertical="top" wrapText="1"/>
    </xf>
    <xf numFmtId="0" fontId="47" fillId="47" borderId="35" xfId="0" applyFont="1" applyFill="1" applyBorder="1" applyAlignment="1">
      <alignment horizontal="center" vertical="center" wrapText="1"/>
    </xf>
    <xf numFmtId="0" fontId="47" fillId="47" borderId="37" xfId="0" applyFont="1" applyFill="1" applyBorder="1" applyAlignment="1">
      <alignment horizontal="center" vertical="center" wrapText="1"/>
    </xf>
    <xf numFmtId="0" fontId="47" fillId="47" borderId="28" xfId="0" applyFont="1" applyFill="1" applyBorder="1" applyAlignment="1">
      <alignment horizontal="center" vertical="center" wrapText="1"/>
    </xf>
    <xf numFmtId="0" fontId="47" fillId="47" borderId="38" xfId="0" applyFont="1" applyFill="1" applyBorder="1" applyAlignment="1">
      <alignment horizontal="center" vertical="center" wrapText="1"/>
    </xf>
    <xf numFmtId="0" fontId="47" fillId="0" borderId="62" xfId="0" applyFont="1" applyBorder="1" applyAlignment="1">
      <alignment horizontal="left" vertical="top" wrapText="1"/>
    </xf>
    <xf numFmtId="0" fontId="47" fillId="0" borderId="64" xfId="0" applyFont="1" applyBorder="1" applyAlignment="1">
      <alignment horizontal="left" vertical="top" wrapText="1"/>
    </xf>
    <xf numFmtId="0" fontId="47" fillId="0" borderId="50" xfId="0" applyFont="1" applyBorder="1" applyAlignment="1">
      <alignment horizontal="left" vertical="top" wrapText="1"/>
    </xf>
    <xf numFmtId="0" fontId="47" fillId="0" borderId="51" xfId="0" applyFont="1" applyBorder="1" applyAlignment="1">
      <alignment horizontal="left" vertical="top" wrapText="1"/>
    </xf>
    <xf numFmtId="181" fontId="47" fillId="0" borderId="50" xfId="0" applyNumberFormat="1" applyFont="1" applyBorder="1" applyAlignment="1">
      <alignment horizontal="center" vertical="center" wrapText="1"/>
    </xf>
    <xf numFmtId="181" fontId="47" fillId="0" borderId="51" xfId="0" applyNumberFormat="1" applyFont="1" applyBorder="1" applyAlignment="1">
      <alignment horizontal="center" vertical="center" wrapText="1"/>
    </xf>
    <xf numFmtId="181" fontId="47" fillId="0" borderId="53" xfId="0" applyNumberFormat="1" applyFont="1" applyBorder="1" applyAlignment="1">
      <alignment horizontal="center" vertical="center" wrapText="1"/>
    </xf>
    <xf numFmtId="181" fontId="47" fillId="0" borderId="67" xfId="0" applyNumberFormat="1" applyFont="1" applyBorder="1" applyAlignment="1">
      <alignment horizontal="center" vertical="center" wrapText="1"/>
    </xf>
    <xf numFmtId="0" fontId="42" fillId="0" borderId="90" xfId="0" applyFont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181" fontId="42" fillId="0" borderId="88" xfId="0" applyNumberFormat="1" applyFont="1" applyBorder="1" applyAlignment="1">
      <alignment horizontal="left" vertical="center"/>
    </xf>
    <xf numFmtId="181" fontId="42" fillId="0" borderId="84" xfId="0" applyNumberFormat="1" applyFont="1" applyBorder="1" applyAlignment="1">
      <alignment horizontal="left" vertical="center"/>
    </xf>
    <xf numFmtId="0" fontId="47" fillId="47" borderId="29" xfId="0" applyFont="1" applyFill="1" applyBorder="1" applyAlignment="1">
      <alignment horizontal="center" vertical="center" wrapText="1"/>
    </xf>
    <xf numFmtId="0" fontId="47" fillId="47" borderId="40" xfId="0" applyFont="1" applyFill="1" applyBorder="1" applyAlignment="1">
      <alignment horizontal="center" vertical="center" wrapText="1"/>
    </xf>
    <xf numFmtId="0" fontId="53" fillId="0" borderId="5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52" xfId="0" applyFont="1" applyBorder="1" applyAlignment="1">
      <alignment horizontal="left" vertical="top" wrapText="1"/>
    </xf>
    <xf numFmtId="0" fontId="53" fillId="0" borderId="5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49" xfId="0" applyFont="1" applyBorder="1" applyAlignment="1">
      <alignment horizontal="center" vertical="top" wrapText="1"/>
    </xf>
    <xf numFmtId="0" fontId="42" fillId="0" borderId="4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9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42" fillId="0" borderId="87" xfId="0" applyFont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top" wrapText="1"/>
    </xf>
    <xf numFmtId="0" fontId="9" fillId="47" borderId="41" xfId="0" applyFont="1" applyFill="1" applyBorder="1" applyAlignment="1">
      <alignment horizontal="center"/>
    </xf>
    <xf numFmtId="0" fontId="9" fillId="47" borderId="88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left" vertical="top" wrapText="1"/>
    </xf>
    <xf numFmtId="0" fontId="51" fillId="0" borderId="79" xfId="0" applyFont="1" applyBorder="1" applyAlignment="1">
      <alignment horizontal="left" vertical="top" wrapText="1"/>
    </xf>
    <xf numFmtId="0" fontId="51" fillId="0" borderId="66" xfId="0" applyFont="1" applyBorder="1" applyAlignment="1">
      <alignment horizontal="left" vertical="top" wrapText="1"/>
    </xf>
    <xf numFmtId="0" fontId="51" fillId="0" borderId="52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center" wrapText="1"/>
    </xf>
    <xf numFmtId="0" fontId="42" fillId="0" borderId="90" xfId="0" applyFont="1" applyBorder="1" applyAlignment="1">
      <alignment horizontal="left" vertical="top" wrapText="1"/>
    </xf>
    <xf numFmtId="0" fontId="42" fillId="0" borderId="88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center" vertical="top" wrapText="1"/>
    </xf>
    <xf numFmtId="0" fontId="49" fillId="0" borderId="55" xfId="0" applyFont="1" applyBorder="1" applyAlignment="1">
      <alignment horizontal="justify" vertical="top" wrapText="1"/>
    </xf>
    <xf numFmtId="0" fontId="9" fillId="0" borderId="55" xfId="0" applyFont="1" applyBorder="1" applyAlignment="1">
      <alignment vertical="top" wrapText="1"/>
    </xf>
    <xf numFmtId="181" fontId="51" fillId="0" borderId="45" xfId="0" applyNumberFormat="1" applyFont="1" applyBorder="1" applyAlignment="1">
      <alignment horizontal="center" vertical="top" wrapText="1"/>
    </xf>
    <xf numFmtId="181" fontId="51" fillId="0" borderId="82" xfId="0" applyNumberFormat="1" applyFont="1" applyBorder="1" applyAlignment="1">
      <alignment horizontal="center" vertical="top" wrapText="1"/>
    </xf>
    <xf numFmtId="0" fontId="49" fillId="0" borderId="28" xfId="0" applyFont="1" applyBorder="1" applyAlignment="1">
      <alignment horizontal="justify" vertical="top" wrapText="1"/>
    </xf>
    <xf numFmtId="0" fontId="9" fillId="0" borderId="28" xfId="0" applyFont="1" applyBorder="1" applyAlignment="1">
      <alignment vertical="top" wrapText="1"/>
    </xf>
    <xf numFmtId="0" fontId="44" fillId="47" borderId="36" xfId="0" applyFont="1" applyFill="1" applyBorder="1" applyAlignment="1">
      <alignment horizontal="center" vertical="center" wrapText="1"/>
    </xf>
    <xf numFmtId="0" fontId="44" fillId="47" borderId="37" xfId="0" applyFont="1" applyFill="1" applyBorder="1" applyAlignment="1">
      <alignment horizontal="center" vertical="center" wrapText="1"/>
    </xf>
    <xf numFmtId="0" fontId="44" fillId="47" borderId="12" xfId="0" applyFont="1" applyFill="1" applyBorder="1" applyAlignment="1">
      <alignment horizontal="center" vertical="center" wrapText="1"/>
    </xf>
    <xf numFmtId="0" fontId="44" fillId="47" borderId="3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44" applyAlignment="1" applyProtection="1">
      <alignment horizontal="center"/>
      <protection/>
    </xf>
    <xf numFmtId="0" fontId="48" fillId="0" borderId="26" xfId="0" applyFont="1" applyBorder="1" applyAlignment="1">
      <alignment horizontal="justify" vertical="top" wrapText="1"/>
    </xf>
    <xf numFmtId="0" fontId="0" fillId="0" borderId="26" xfId="0" applyBorder="1" applyAlignment="1">
      <alignment vertical="top" wrapText="1"/>
    </xf>
    <xf numFmtId="0" fontId="44" fillId="47" borderId="57" xfId="0" applyFont="1" applyFill="1" applyBorder="1" applyAlignment="1">
      <alignment horizontal="center" vertical="top" wrapText="1"/>
    </xf>
    <xf numFmtId="0" fontId="44" fillId="47" borderId="55" xfId="0" applyFont="1" applyFill="1" applyBorder="1" applyAlignment="1">
      <alignment horizontal="center" vertical="top" wrapText="1"/>
    </xf>
    <xf numFmtId="0" fontId="44" fillId="47" borderId="23" xfId="0" applyFont="1" applyFill="1" applyBorder="1" applyAlignment="1">
      <alignment horizontal="center" vertical="top" wrapText="1"/>
    </xf>
    <xf numFmtId="0" fontId="44" fillId="47" borderId="26" xfId="0" applyFont="1" applyFill="1" applyBorder="1" applyAlignment="1">
      <alignment horizontal="center" vertical="top" wrapText="1"/>
    </xf>
    <xf numFmtId="0" fontId="53" fillId="0" borderId="47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48" xfId="0" applyFont="1" applyBorder="1" applyAlignment="1">
      <alignment horizontal="left" vertical="top" wrapText="1"/>
    </xf>
    <xf numFmtId="0" fontId="53" fillId="0" borderId="5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5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 wrapText="1"/>
    </xf>
    <xf numFmtId="0" fontId="47" fillId="47" borderId="12" xfId="0" applyFont="1" applyFill="1" applyBorder="1" applyAlignment="1">
      <alignment horizontal="center" wrapText="1"/>
    </xf>
    <xf numFmtId="0" fontId="47" fillId="47" borderId="30" xfId="0" applyFont="1" applyFill="1" applyBorder="1" applyAlignment="1">
      <alignment horizontal="center" wrapText="1"/>
    </xf>
    <xf numFmtId="0" fontId="48" fillId="0" borderId="38" xfId="0" applyFont="1" applyBorder="1" applyAlignment="1">
      <alignment horizontal="justify" vertical="top" wrapText="1"/>
    </xf>
    <xf numFmtId="0" fontId="0" fillId="0" borderId="38" xfId="0" applyBorder="1" applyAlignment="1">
      <alignment vertical="top" wrapText="1"/>
    </xf>
    <xf numFmtId="181" fontId="53" fillId="0" borderId="50" xfId="0" applyNumberFormat="1" applyFont="1" applyBorder="1" applyAlignment="1">
      <alignment horizontal="center" vertical="top" wrapText="1"/>
    </xf>
    <xf numFmtId="181" fontId="53" fillId="0" borderId="0" xfId="0" applyNumberFormat="1" applyFont="1" applyBorder="1" applyAlignment="1">
      <alignment horizontal="center" vertical="top" wrapText="1"/>
    </xf>
    <xf numFmtId="181" fontId="53" fillId="0" borderId="53" xfId="0" applyNumberFormat="1" applyFont="1" applyBorder="1" applyAlignment="1">
      <alignment horizontal="center" vertical="top" wrapText="1"/>
    </xf>
    <xf numFmtId="181" fontId="53" fillId="0" borderId="24" xfId="0" applyNumberFormat="1" applyFont="1" applyBorder="1" applyAlignment="1">
      <alignment horizontal="center" vertical="top" wrapText="1"/>
    </xf>
    <xf numFmtId="0" fontId="42" fillId="0" borderId="87" xfId="0" applyFont="1" applyBorder="1" applyAlignment="1">
      <alignment horizontal="left" vertical="top" wrapText="1"/>
    </xf>
    <xf numFmtId="0" fontId="42" fillId="0" borderId="90" xfId="0" applyFont="1" applyBorder="1" applyAlignment="1">
      <alignment horizontal="left" vertical="center"/>
    </xf>
    <xf numFmtId="0" fontId="42" fillId="0" borderId="88" xfId="0" applyFont="1" applyBorder="1" applyAlignment="1">
      <alignment horizontal="left" vertical="center"/>
    </xf>
    <xf numFmtId="0" fontId="54" fillId="0" borderId="47" xfId="0" applyFont="1" applyBorder="1" applyAlignment="1">
      <alignment horizontal="center" vertical="center" wrapText="1"/>
    </xf>
    <xf numFmtId="0" fontId="54" fillId="0" borderId="85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59" xfId="0" applyFont="1" applyBorder="1" applyAlignment="1">
      <alignment horizontal="left" vertical="center" wrapText="1"/>
    </xf>
    <xf numFmtId="0" fontId="43" fillId="0" borderId="60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  <xf numFmtId="0" fontId="56" fillId="0" borderId="88" xfId="0" applyFont="1" applyBorder="1" applyAlignment="1">
      <alignment horizontal="left" vertical="center" wrapText="1"/>
    </xf>
    <xf numFmtId="0" fontId="56" fillId="0" borderId="87" xfId="0" applyFont="1" applyBorder="1" applyAlignment="1">
      <alignment horizontal="left" vertical="center" wrapText="1"/>
    </xf>
    <xf numFmtId="0" fontId="54" fillId="0" borderId="90" xfId="0" applyFont="1" applyBorder="1" applyAlignment="1">
      <alignment horizontal="center" vertical="center" wrapText="1"/>
    </xf>
    <xf numFmtId="0" fontId="54" fillId="0" borderId="8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7" fillId="0" borderId="6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wrapText="1"/>
    </xf>
    <xf numFmtId="0" fontId="57" fillId="0" borderId="71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14" fontId="8" fillId="0" borderId="38" xfId="0" applyNumberFormat="1" applyFont="1" applyBorder="1" applyAlignment="1">
      <alignment horizontal="center" vertical="center" wrapText="1"/>
    </xf>
    <xf numFmtId="14" fontId="8" fillId="0" borderId="55" xfId="0" applyNumberFormat="1" applyFont="1" applyBorder="1" applyAlignment="1">
      <alignment horizontal="center" vertical="center" wrapText="1"/>
    </xf>
    <xf numFmtId="14" fontId="11" fillId="0" borderId="40" xfId="0" applyNumberFormat="1" applyFont="1" applyBorder="1" applyAlignment="1">
      <alignment horizontal="center" vertical="center" wrapText="1"/>
    </xf>
    <xf numFmtId="14" fontId="11" fillId="0" borderId="56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11" fillId="0" borderId="7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0" fontId="0" fillId="0" borderId="12" xfId="50" applyFont="1" applyBorder="1" applyAlignment="1">
      <alignment wrapText="1"/>
    </xf>
    <xf numFmtId="170" fontId="12" fillId="0" borderId="41" xfId="0" applyNumberFormat="1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2" fillId="0" borderId="73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0" fontId="11" fillId="47" borderId="91" xfId="0" applyFont="1" applyFill="1" applyBorder="1" applyAlignment="1">
      <alignment horizontal="center" vertical="center" wrapText="1"/>
    </xf>
    <xf numFmtId="0" fontId="0" fillId="47" borderId="92" xfId="0" applyFill="1" applyBorder="1" applyAlignment="1">
      <alignment horizontal="center" vertical="center"/>
    </xf>
    <xf numFmtId="0" fontId="0" fillId="47" borderId="93" xfId="0" applyFill="1" applyBorder="1" applyAlignment="1">
      <alignment horizontal="center" vertical="center"/>
    </xf>
    <xf numFmtId="0" fontId="11" fillId="47" borderId="94" xfId="0" applyFont="1" applyFill="1" applyBorder="1" applyAlignment="1">
      <alignment horizontal="center" vertical="center" wrapText="1"/>
    </xf>
    <xf numFmtId="0" fontId="0" fillId="47" borderId="95" xfId="0" applyFill="1" applyBorder="1" applyAlignment="1">
      <alignment horizontal="center" vertical="center"/>
    </xf>
    <xf numFmtId="0" fontId="0" fillId="47" borderId="96" xfId="0" applyFill="1" applyBorder="1" applyAlignment="1">
      <alignment horizontal="center" vertical="center"/>
    </xf>
    <xf numFmtId="0" fontId="11" fillId="47" borderId="97" xfId="0" applyFont="1" applyFill="1" applyBorder="1" applyAlignment="1">
      <alignment horizontal="center" vertical="center" wrapText="1"/>
    </xf>
    <xf numFmtId="0" fontId="11" fillId="47" borderId="98" xfId="0" applyFont="1" applyFill="1" applyBorder="1" applyAlignment="1">
      <alignment horizontal="center" vertical="center" wrapText="1"/>
    </xf>
    <xf numFmtId="0" fontId="11" fillId="47" borderId="99" xfId="0" applyFont="1" applyFill="1" applyBorder="1" applyAlignment="1">
      <alignment horizontal="center" vertical="center" wrapText="1"/>
    </xf>
    <xf numFmtId="0" fontId="0" fillId="47" borderId="100" xfId="0" applyFill="1" applyBorder="1" applyAlignment="1">
      <alignment horizontal="center" vertical="center" wrapText="1"/>
    </xf>
    <xf numFmtId="0" fontId="0" fillId="47" borderId="101" xfId="0" applyFill="1" applyBorder="1" applyAlignment="1">
      <alignment horizontal="center" vertical="center" wrapText="1"/>
    </xf>
    <xf numFmtId="0" fontId="0" fillId="47" borderId="102" xfId="0" applyFill="1" applyBorder="1" applyAlignment="1">
      <alignment horizontal="center" vertical="center" wrapText="1"/>
    </xf>
    <xf numFmtId="0" fontId="11" fillId="47" borderId="12" xfId="0" applyFont="1" applyFill="1" applyBorder="1" applyAlignment="1">
      <alignment horizontal="center" vertical="center" wrapText="1"/>
    </xf>
    <xf numFmtId="0" fontId="11" fillId="47" borderId="30" xfId="0" applyFont="1" applyFill="1" applyBorder="1" applyAlignment="1">
      <alignment horizontal="center" vertical="center" wrapText="1"/>
    </xf>
    <xf numFmtId="0" fontId="0" fillId="47" borderId="12" xfId="0" applyFill="1" applyBorder="1" applyAlignment="1">
      <alignment horizontal="center" vertical="center" wrapText="1"/>
    </xf>
    <xf numFmtId="0" fontId="11" fillId="47" borderId="41" xfId="0" applyFont="1" applyFill="1" applyBorder="1" applyAlignment="1">
      <alignment horizontal="center" vertical="center" wrapText="1"/>
    </xf>
    <xf numFmtId="0" fontId="11" fillId="47" borderId="88" xfId="0" applyFont="1" applyFill="1" applyBorder="1" applyAlignment="1">
      <alignment horizontal="center" vertical="center" wrapText="1"/>
    </xf>
    <xf numFmtId="0" fontId="0" fillId="47" borderId="88" xfId="0" applyFont="1" applyFill="1" applyBorder="1" applyAlignment="1">
      <alignment horizontal="center" vertical="center"/>
    </xf>
    <xf numFmtId="0" fontId="0" fillId="47" borderId="84" xfId="0" applyFont="1" applyFill="1" applyBorder="1" applyAlignment="1">
      <alignment horizontal="center" vertical="center"/>
    </xf>
    <xf numFmtId="0" fontId="0" fillId="47" borderId="90" xfId="0" applyFill="1" applyBorder="1" applyAlignment="1">
      <alignment horizontal="center"/>
    </xf>
    <xf numFmtId="0" fontId="0" fillId="47" borderId="88" xfId="0" applyFill="1" applyBorder="1" applyAlignment="1">
      <alignment horizontal="center"/>
    </xf>
    <xf numFmtId="0" fontId="0" fillId="47" borderId="84" xfId="0" applyFill="1" applyBorder="1" applyAlignment="1">
      <alignment horizontal="center"/>
    </xf>
    <xf numFmtId="0" fontId="0" fillId="47" borderId="87" xfId="0" applyFill="1" applyBorder="1" applyAlignment="1">
      <alignment horizontal="center"/>
    </xf>
    <xf numFmtId="0" fontId="36" fillId="47" borderId="41" xfId="0" applyFont="1" applyFill="1" applyBorder="1" applyAlignment="1">
      <alignment horizontal="center" vertical="center"/>
    </xf>
    <xf numFmtId="0" fontId="36" fillId="47" borderId="88" xfId="0" applyFont="1" applyFill="1" applyBorder="1" applyAlignment="1">
      <alignment horizontal="center" vertical="center"/>
    </xf>
    <xf numFmtId="0" fontId="36" fillId="47" borderId="87" xfId="0" applyFont="1" applyFill="1" applyBorder="1" applyAlignment="1">
      <alignment horizontal="center" vertical="center"/>
    </xf>
    <xf numFmtId="171" fontId="0" fillId="47" borderId="41" xfId="67" applyFont="1" applyFill="1" applyBorder="1" applyAlignment="1">
      <alignment horizontal="center"/>
    </xf>
    <xf numFmtId="171" fontId="0" fillId="47" borderId="87" xfId="67" applyFont="1" applyFill="1" applyBorder="1" applyAlignment="1">
      <alignment horizontal="center"/>
    </xf>
    <xf numFmtId="166" fontId="2" fillId="47" borderId="41" xfId="50" applyNumberFormat="1" applyFont="1" applyFill="1" applyBorder="1" applyAlignment="1">
      <alignment horizontal="center"/>
    </xf>
    <xf numFmtId="166" fontId="2" fillId="47" borderId="88" xfId="50" applyNumberFormat="1" applyFont="1" applyFill="1" applyBorder="1" applyAlignment="1">
      <alignment horizontal="center"/>
    </xf>
    <xf numFmtId="166" fontId="2" fillId="47" borderId="87" xfId="50" applyNumberFormat="1" applyFont="1" applyFill="1" applyBorder="1" applyAlignment="1">
      <alignment horizontal="center"/>
    </xf>
    <xf numFmtId="0" fontId="0" fillId="47" borderId="103" xfId="0" applyFill="1" applyBorder="1" applyAlignment="1">
      <alignment horizontal="center" vertical="top" wrapText="1"/>
    </xf>
    <xf numFmtId="0" fontId="0" fillId="47" borderId="104" xfId="0" applyFill="1" applyBorder="1" applyAlignment="1">
      <alignment horizontal="center" vertical="top" wrapText="1"/>
    </xf>
    <xf numFmtId="0" fontId="0" fillId="47" borderId="78" xfId="0" applyFill="1" applyBorder="1" applyAlignment="1">
      <alignment/>
    </xf>
    <xf numFmtId="0" fontId="0" fillId="47" borderId="68" xfId="0" applyFill="1" applyBorder="1" applyAlignment="1">
      <alignment horizontal="center" vertical="top" wrapText="1"/>
    </xf>
    <xf numFmtId="0" fontId="0" fillId="47" borderId="24" xfId="0" applyFill="1" applyBorder="1" applyAlignment="1">
      <alignment horizontal="center" vertical="top" wrapText="1"/>
    </xf>
    <xf numFmtId="0" fontId="0" fillId="47" borderId="67" xfId="0" applyFill="1" applyBorder="1" applyAlignment="1">
      <alignment horizontal="center" vertical="top" wrapText="1"/>
    </xf>
    <xf numFmtId="0" fontId="0" fillId="47" borderId="42" xfId="0" applyFont="1" applyFill="1" applyBorder="1" applyAlignment="1">
      <alignment horizontal="center" vertical="top" wrapText="1"/>
    </xf>
    <xf numFmtId="0" fontId="0" fillId="47" borderId="89" xfId="0" applyFill="1" applyBorder="1" applyAlignment="1">
      <alignment horizontal="center" vertical="top" wrapText="1"/>
    </xf>
    <xf numFmtId="0" fontId="0" fillId="47" borderId="69" xfId="0" applyFill="1" applyBorder="1" applyAlignment="1">
      <alignment horizontal="center" vertical="top" wrapText="1"/>
    </xf>
    <xf numFmtId="0" fontId="0" fillId="47" borderId="23" xfId="0" applyFill="1" applyBorder="1" applyAlignment="1">
      <alignment horizontal="center" vertical="top" wrapText="1"/>
    </xf>
    <xf numFmtId="0" fontId="0" fillId="47" borderId="26" xfId="0" applyFill="1" applyBorder="1" applyAlignment="1">
      <alignment horizontal="center" vertical="top" wrapText="1"/>
    </xf>
    <xf numFmtId="0" fontId="0" fillId="47" borderId="26" xfId="0" applyFill="1" applyBorder="1" applyAlignment="1">
      <alignment/>
    </xf>
    <xf numFmtId="0" fontId="0" fillId="0" borderId="5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82" xfId="0" applyBorder="1" applyAlignment="1">
      <alignment horizontal="center" vertical="top" wrapText="1"/>
    </xf>
    <xf numFmtId="0" fontId="42" fillId="0" borderId="36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42" borderId="36" xfId="52" applyFill="1" applyBorder="1" applyAlignment="1">
      <alignment horizontal="center"/>
      <protection/>
    </xf>
    <xf numFmtId="0" fontId="0" fillId="42" borderId="12" xfId="52" applyFill="1" applyBorder="1" applyAlignment="1">
      <alignment horizontal="center"/>
      <protection/>
    </xf>
    <xf numFmtId="0" fontId="0" fillId="42" borderId="30" xfId="52" applyFill="1" applyBorder="1" applyAlignment="1">
      <alignment horizontal="center"/>
      <protection/>
    </xf>
    <xf numFmtId="0" fontId="0" fillId="42" borderId="23" xfId="52" applyFill="1" applyBorder="1" applyAlignment="1">
      <alignment horizontal="center"/>
      <protection/>
    </xf>
    <xf numFmtId="0" fontId="0" fillId="42" borderId="26" xfId="52" applyFill="1" applyBorder="1" applyAlignment="1">
      <alignment horizontal="center"/>
      <protection/>
    </xf>
    <xf numFmtId="0" fontId="0" fillId="42" borderId="27" xfId="52" applyFill="1" applyBorder="1" applyAlignment="1">
      <alignment horizontal="center"/>
      <protection/>
    </xf>
    <xf numFmtId="0" fontId="0" fillId="42" borderId="57" xfId="52" applyFill="1" applyBorder="1" applyAlignment="1">
      <alignment horizontal="center"/>
      <protection/>
    </xf>
    <xf numFmtId="0" fontId="0" fillId="42" borderId="55" xfId="52" applyFill="1" applyBorder="1" applyAlignment="1">
      <alignment horizontal="center"/>
      <protection/>
    </xf>
    <xf numFmtId="0" fontId="9" fillId="33" borderId="13" xfId="52" applyFont="1" applyFill="1" applyBorder="1" applyAlignment="1">
      <alignment horizontal="center"/>
      <protection/>
    </xf>
    <xf numFmtId="0" fontId="9" fillId="42" borderId="76" xfId="52" applyFont="1" applyFill="1" applyBorder="1" applyAlignment="1">
      <alignment horizontal="center"/>
      <protection/>
    </xf>
    <xf numFmtId="0" fontId="9" fillId="33" borderId="36" xfId="52" applyFont="1" applyFill="1" applyBorder="1" applyAlignment="1">
      <alignment horizontal="center"/>
      <protection/>
    </xf>
    <xf numFmtId="0" fontId="9" fillId="33" borderId="12" xfId="52" applyFont="1" applyFill="1" applyBorder="1" applyAlignment="1">
      <alignment horizontal="center"/>
      <protection/>
    </xf>
    <xf numFmtId="0" fontId="9" fillId="33" borderId="30" xfId="52" applyFont="1" applyFill="1" applyBorder="1" applyAlignment="1">
      <alignment horizontal="center"/>
      <protection/>
    </xf>
    <xf numFmtId="0" fontId="0" fillId="42" borderId="36" xfId="52" applyFont="1" applyFill="1" applyBorder="1" applyAlignment="1">
      <alignment horizontal="center"/>
      <protection/>
    </xf>
    <xf numFmtId="0" fontId="0" fillId="33" borderId="12" xfId="52" applyFont="1" applyFill="1" applyBorder="1" applyAlignment="1">
      <alignment horizontal="center"/>
      <protection/>
    </xf>
    <xf numFmtId="181" fontId="9" fillId="33" borderId="17" xfId="52" applyNumberFormat="1" applyFont="1" applyFill="1" applyBorder="1" applyAlignment="1">
      <alignment horizontal="center"/>
      <protection/>
    </xf>
    <xf numFmtId="181" fontId="9" fillId="33" borderId="48" xfId="52" applyNumberFormat="1" applyFont="1" applyFill="1" applyBorder="1" applyAlignment="1">
      <alignment horizontal="center"/>
      <protection/>
    </xf>
    <xf numFmtId="0" fontId="0" fillId="42" borderId="37" xfId="52" applyFill="1" applyBorder="1" applyAlignment="1">
      <alignment horizontal="center"/>
      <protection/>
    </xf>
    <xf numFmtId="0" fontId="0" fillId="42" borderId="38" xfId="52" applyFill="1" applyBorder="1" applyAlignment="1">
      <alignment horizontal="center"/>
      <protection/>
    </xf>
    <xf numFmtId="0" fontId="0" fillId="42" borderId="40" xfId="52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0" fontId="9" fillId="42" borderId="0" xfId="52" applyFont="1" applyFill="1" applyBorder="1" applyAlignment="1">
      <alignment horizontal="center"/>
      <protection/>
    </xf>
    <xf numFmtId="0" fontId="0" fillId="42" borderId="56" xfId="52" applyFill="1" applyBorder="1" applyAlignment="1">
      <alignment horizontal="center"/>
      <protection/>
    </xf>
    <xf numFmtId="181" fontId="9" fillId="33" borderId="0" xfId="52" applyNumberFormat="1" applyFont="1" applyFill="1" applyAlignment="1">
      <alignment horizontal="center"/>
      <protection/>
    </xf>
    <xf numFmtId="0" fontId="25" fillId="0" borderId="47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5" fillId="0" borderId="48" xfId="54" applyFont="1" applyBorder="1" applyAlignment="1">
      <alignment horizontal="center"/>
      <protection/>
    </xf>
    <xf numFmtId="0" fontId="35" fillId="0" borderId="50" xfId="54" applyFont="1" applyBorder="1" applyAlignment="1">
      <alignment horizontal="center"/>
      <protection/>
    </xf>
    <xf numFmtId="0" fontId="35" fillId="0" borderId="0" xfId="54" applyFont="1" applyBorder="1" applyAlignment="1">
      <alignment horizontal="center"/>
      <protection/>
    </xf>
    <xf numFmtId="0" fontId="35" fillId="0" borderId="52" xfId="54" applyFont="1" applyBorder="1" applyAlignment="1">
      <alignment horizontal="center"/>
      <protection/>
    </xf>
    <xf numFmtId="0" fontId="10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50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52" xfId="54" applyBorder="1" applyAlignment="1">
      <alignment horizontal="center"/>
      <protection/>
    </xf>
    <xf numFmtId="0" fontId="0" fillId="0" borderId="50" xfId="54" applyFont="1" applyBorder="1" applyAlignment="1">
      <alignment horizontal="center"/>
      <protection/>
    </xf>
    <xf numFmtId="0" fontId="10" fillId="0" borderId="13" xfId="54" applyFont="1" applyBorder="1" applyAlignment="1">
      <alignment horizontal="left"/>
      <protection/>
    </xf>
    <xf numFmtId="0" fontId="10" fillId="0" borderId="20" xfId="54" applyFont="1" applyBorder="1" applyAlignment="1">
      <alignment horizontal="left"/>
      <protection/>
    </xf>
    <xf numFmtId="0" fontId="32" fillId="0" borderId="24" xfId="55" applyNumberFormat="1" applyFont="1" applyFill="1" applyBorder="1" applyAlignment="1">
      <alignment horizontal="center"/>
      <protection/>
    </xf>
    <xf numFmtId="49" fontId="22" fillId="0" borderId="0" xfId="55" applyNumberFormat="1" applyFont="1" applyFill="1" applyAlignment="1">
      <alignment horizontal="center"/>
      <protection/>
    </xf>
    <xf numFmtId="0" fontId="9" fillId="0" borderId="47" xfId="55" applyNumberFormat="1" applyFont="1" applyFill="1" applyBorder="1" applyAlignment="1">
      <alignment horizontal="left"/>
      <protection/>
    </xf>
    <xf numFmtId="0" fontId="9" fillId="0" borderId="17" xfId="55" applyNumberFormat="1" applyFont="1" applyFill="1" applyBorder="1" applyAlignment="1">
      <alignment horizontal="left"/>
      <protection/>
    </xf>
    <xf numFmtId="0" fontId="9" fillId="0" borderId="48" xfId="55" applyNumberFormat="1" applyFont="1" applyFill="1" applyBorder="1" applyAlignment="1">
      <alignment horizontal="left"/>
      <protection/>
    </xf>
    <xf numFmtId="0" fontId="9" fillId="0" borderId="13" xfId="55" applyNumberFormat="1" applyFont="1" applyFill="1" applyBorder="1" applyAlignment="1">
      <alignment horizontal="left"/>
      <protection/>
    </xf>
    <xf numFmtId="0" fontId="9" fillId="0" borderId="14" xfId="55" applyNumberFormat="1" applyFont="1" applyFill="1" applyBorder="1" applyAlignment="1">
      <alignment horizontal="left"/>
      <protection/>
    </xf>
    <xf numFmtId="0" fontId="9" fillId="0" borderId="76" xfId="55" applyNumberFormat="1" applyFont="1" applyFill="1" applyBorder="1" applyAlignment="1">
      <alignment horizontal="left"/>
      <protection/>
    </xf>
    <xf numFmtId="49" fontId="34" fillId="0" borderId="0" xfId="54" applyNumberFormat="1" applyFont="1" applyBorder="1" applyAlignment="1">
      <alignment horizontal="center"/>
      <protection/>
    </xf>
    <xf numFmtId="2" fontId="48" fillId="44" borderId="41" xfId="0" applyNumberFormat="1" applyFont="1" applyFill="1" applyBorder="1" applyAlignment="1">
      <alignment horizontal="left" vertical="top"/>
    </xf>
    <xf numFmtId="2" fontId="48" fillId="44" borderId="87" xfId="0" applyNumberFormat="1" applyFont="1" applyFill="1" applyBorder="1" applyAlignment="1">
      <alignment horizontal="left" vertical="top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Neutra" xfId="51"/>
    <cellStyle name="Normal 2" xfId="52"/>
    <cellStyle name="Normal_1.planilha de escavação e reaterro" xfId="53"/>
    <cellStyle name="Normal_Ampliação PS- 100,00m2 - VERSÃO 03" xfId="54"/>
    <cellStyle name="Normal_Orç PS V2 -  BDI -" xfId="55"/>
    <cellStyle name="Normal_Plan1" xfId="56"/>
    <cellStyle name="Normal_planilha de escavação e reaterro" xfId="57"/>
    <cellStyle name="Nota" xfId="58"/>
    <cellStyle name="Percent" xfId="59"/>
    <cellStyle name="Porcentagem 2" xfId="60"/>
    <cellStyle name="Porcentagem 2 2" xfId="61"/>
    <cellStyle name="Porcentagem 2 3" xfId="62"/>
    <cellStyle name="Saída" xfId="63"/>
    <cellStyle name="Comma" xfId="64"/>
    <cellStyle name="Comma [0]" xfId="65"/>
    <cellStyle name="Separador de milhares 2" xfId="66"/>
    <cellStyle name="Separador de milhares 2 2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1.wmf" /><Relationship Id="rId11" Type="http://schemas.openxmlformats.org/officeDocument/2006/relationships/image" Target="../media/image2.wmf" /><Relationship Id="rId12" Type="http://schemas.openxmlformats.org/officeDocument/2006/relationships/image" Target="../media/image3.wmf" /><Relationship Id="rId13" Type="http://schemas.openxmlformats.org/officeDocument/2006/relationships/image" Target="../media/image1.wmf" /><Relationship Id="rId14" Type="http://schemas.openxmlformats.org/officeDocument/2006/relationships/image" Target="../media/image2.wmf" /><Relationship Id="rId15" Type="http://schemas.openxmlformats.org/officeDocument/2006/relationships/image" Target="../media/image3.wmf" /><Relationship Id="rId16" Type="http://schemas.openxmlformats.org/officeDocument/2006/relationships/image" Target="../media/image1.wmf" /><Relationship Id="rId17" Type="http://schemas.openxmlformats.org/officeDocument/2006/relationships/image" Target="../media/image2.wmf" /><Relationship Id="rId18" Type="http://schemas.openxmlformats.org/officeDocument/2006/relationships/image" Target="../media/image3.wmf" /><Relationship Id="rId19" Type="http://schemas.openxmlformats.org/officeDocument/2006/relationships/image" Target="../media/image1.wmf" /><Relationship Id="rId20" Type="http://schemas.openxmlformats.org/officeDocument/2006/relationships/image" Target="../media/image2.wmf" /><Relationship Id="rId21" Type="http://schemas.openxmlformats.org/officeDocument/2006/relationships/image" Target="../media/image3.wmf" /><Relationship Id="rId22" Type="http://schemas.openxmlformats.org/officeDocument/2006/relationships/image" Target="../media/image1.wmf" /><Relationship Id="rId23" Type="http://schemas.openxmlformats.org/officeDocument/2006/relationships/image" Target="../media/image2.wmf" /><Relationship Id="rId24" Type="http://schemas.openxmlformats.org/officeDocument/2006/relationships/image" Target="../media/image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1.wmf" /><Relationship Id="rId29" Type="http://schemas.openxmlformats.org/officeDocument/2006/relationships/image" Target="../media/image2.wmf" /><Relationship Id="rId30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171450</xdr:rowOff>
    </xdr:from>
    <xdr:to>
      <xdr:col>9</xdr:col>
      <xdr:colOff>304800</xdr:colOff>
      <xdr:row>26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61925" y="4886325"/>
          <a:ext cx="6800850" cy="561975"/>
          <a:chOff x="216" y="397"/>
          <a:chExt cx="547" cy="6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476250</xdr:colOff>
      <xdr:row>38</xdr:row>
      <xdr:rowOff>85725</xdr:rowOff>
    </xdr:from>
    <xdr:to>
      <xdr:col>9</xdr:col>
      <xdr:colOff>447675</xdr:colOff>
      <xdr:row>41</xdr:row>
      <xdr:rowOff>28575</xdr:rowOff>
    </xdr:to>
    <xdr:grpSp>
      <xdr:nvGrpSpPr>
        <xdr:cNvPr id="33" name="Group 33"/>
        <xdr:cNvGrpSpPr>
          <a:grpSpLocks/>
        </xdr:cNvGrpSpPr>
      </xdr:nvGrpSpPr>
      <xdr:grpSpPr>
        <a:xfrm>
          <a:off x="476250" y="7572375"/>
          <a:ext cx="6629400" cy="428625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495300</xdr:colOff>
      <xdr:row>34</xdr:row>
      <xdr:rowOff>85725</xdr:rowOff>
    </xdr:from>
    <xdr:to>
      <xdr:col>8</xdr:col>
      <xdr:colOff>447675</xdr:colOff>
      <xdr:row>37</xdr:row>
      <xdr:rowOff>19050</xdr:rowOff>
    </xdr:to>
    <xdr:grpSp>
      <xdr:nvGrpSpPr>
        <xdr:cNvPr id="37" name="Group 37"/>
        <xdr:cNvGrpSpPr>
          <a:grpSpLocks/>
        </xdr:cNvGrpSpPr>
      </xdr:nvGrpSpPr>
      <xdr:grpSpPr>
        <a:xfrm>
          <a:off x="495300" y="6896100"/>
          <a:ext cx="5715000" cy="447675"/>
          <a:chOff x="216" y="398"/>
          <a:chExt cx="548" cy="51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71</xdr:row>
      <xdr:rowOff>0</xdr:rowOff>
    </xdr:from>
    <xdr:to>
      <xdr:col>16</xdr:col>
      <xdr:colOff>38100</xdr:colOff>
      <xdr:row>72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573530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74</xdr:row>
      <xdr:rowOff>161925</xdr:rowOff>
    </xdr:from>
    <xdr:to>
      <xdr:col>18</xdr:col>
      <xdr:colOff>561975</xdr:colOff>
      <xdr:row>76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6383000"/>
          <a:ext cx="430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76</xdr:row>
      <xdr:rowOff>95250</xdr:rowOff>
    </xdr:from>
    <xdr:to>
      <xdr:col>18</xdr:col>
      <xdr:colOff>523875</xdr:colOff>
      <xdr:row>78</xdr:row>
      <xdr:rowOff>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6640175"/>
          <a:ext cx="426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78</xdr:row>
      <xdr:rowOff>152400</xdr:rowOff>
    </xdr:from>
    <xdr:to>
      <xdr:col>18</xdr:col>
      <xdr:colOff>295275</xdr:colOff>
      <xdr:row>80</xdr:row>
      <xdr:rowOff>66675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021175"/>
          <a:ext cx="403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71</xdr:row>
      <xdr:rowOff>0</xdr:rowOff>
    </xdr:from>
    <xdr:to>
      <xdr:col>21</xdr:col>
      <xdr:colOff>447675</xdr:colOff>
      <xdr:row>72</xdr:row>
      <xdr:rowOff>28575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5735300"/>
          <a:ext cx="1047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73</xdr:row>
      <xdr:rowOff>0</xdr:rowOff>
    </xdr:from>
    <xdr:to>
      <xdr:col>20</xdr:col>
      <xdr:colOff>609600</xdr:colOff>
      <xdr:row>74</xdr:row>
      <xdr:rowOff>9525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60591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74</xdr:row>
      <xdr:rowOff>161925</xdr:rowOff>
    </xdr:from>
    <xdr:to>
      <xdr:col>21</xdr:col>
      <xdr:colOff>57150</xdr:colOff>
      <xdr:row>77</xdr:row>
      <xdr:rowOff>85725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638300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78</xdr:row>
      <xdr:rowOff>38100</xdr:rowOff>
    </xdr:from>
    <xdr:to>
      <xdr:col>21</xdr:col>
      <xdr:colOff>419100</xdr:colOff>
      <xdr:row>79</xdr:row>
      <xdr:rowOff>123825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6906875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857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133350</xdr:rowOff>
    </xdr:from>
    <xdr:to>
      <xdr:col>1</xdr:col>
      <xdr:colOff>2790825</xdr:colOff>
      <xdr:row>1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33350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190500</xdr:rowOff>
    </xdr:from>
    <xdr:to>
      <xdr:col>1</xdr:col>
      <xdr:colOff>333375</xdr:colOff>
      <xdr:row>1</xdr:row>
      <xdr:rowOff>247650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0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28575</xdr:rowOff>
    </xdr:from>
    <xdr:to>
      <xdr:col>8</xdr:col>
      <xdr:colOff>1085850</xdr:colOff>
      <xdr:row>0</xdr:row>
      <xdr:rowOff>523875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575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66675</xdr:rowOff>
    </xdr:from>
    <xdr:to>
      <xdr:col>6</xdr:col>
      <xdr:colOff>695325</xdr:colOff>
      <xdr:row>0</xdr:row>
      <xdr:rowOff>466725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666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2013\BOMBINHAS\PROJETOS%20EM%20ANDAMENTO\2013-10-18%20-%20FUNDAM\0.%20FUNDAM%20-%20REVIS&#195;O\1.%20RUA%20ALCE\2.%20RUA%20AL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AVER"/>
      <sheetName val="TATIL"/>
      <sheetName val="BDI "/>
    </sheetNames>
    <sheetDataSet>
      <sheetData sheetId="1">
        <row r="3">
          <cell r="B3">
            <v>41671</v>
          </cell>
        </row>
        <row r="8">
          <cell r="B8" t="str">
            <v>PAVIMENTAÇÃO COM LAJOTAS SEXTAVADAS E DRENAGEM PLUVIAL </v>
          </cell>
        </row>
        <row r="9">
          <cell r="B9" t="str">
            <v>SINAPI - 01/01/2014 - COM DESONERAÇÃO - SICR0  01/11/2013</v>
          </cell>
        </row>
        <row r="10">
          <cell r="B10">
            <v>0.25</v>
          </cell>
        </row>
        <row r="15">
          <cell r="B15" t="str">
            <v>PREFEITURA MUNICIPAL DE BOMBINHAS</v>
          </cell>
        </row>
        <row r="19">
          <cell r="C19" t="str">
            <v>RUA ALCE - BAIRRO JOSÉ AMANDIO</v>
          </cell>
        </row>
      </sheetData>
      <sheetData sheetId="3">
        <row r="30">
          <cell r="W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oleObject" Target="../embeddings/oleObject_2_24.bin" /><Relationship Id="rId26" Type="http://schemas.openxmlformats.org/officeDocument/2006/relationships/oleObject" Target="../embeddings/oleObject_2_25.bin" /><Relationship Id="rId27" Type="http://schemas.openxmlformats.org/officeDocument/2006/relationships/oleObject" Target="../embeddings/oleObject_2_26.bin" /><Relationship Id="rId28" Type="http://schemas.openxmlformats.org/officeDocument/2006/relationships/oleObject" Target="../embeddings/oleObject_2_27.bin" /><Relationship Id="rId29" Type="http://schemas.openxmlformats.org/officeDocument/2006/relationships/oleObject" Target="../embeddings/oleObject_2_28.bin" /><Relationship Id="rId30" Type="http://schemas.openxmlformats.org/officeDocument/2006/relationships/oleObject" Target="../embeddings/oleObject_2_29.bin" /><Relationship Id="rId31" Type="http://schemas.openxmlformats.org/officeDocument/2006/relationships/vmlDrawing" Target="../drawings/vmlDrawing1.vm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22">
      <selection activeCell="A33" sqref="A33"/>
    </sheetView>
  </sheetViews>
  <sheetFormatPr defaultColWidth="9.140625" defaultRowHeight="12.75"/>
  <cols>
    <col min="1" max="1" width="15.8515625" style="10" bestFit="1" customWidth="1"/>
    <col min="2" max="2" width="131.28125" style="0" bestFit="1" customWidth="1"/>
    <col min="3" max="3" width="9.140625" style="10" customWidth="1"/>
    <col min="4" max="4" width="13.7109375" style="168" bestFit="1" customWidth="1"/>
    <col min="8" max="8" width="12.140625" style="0" bestFit="1" customWidth="1"/>
  </cols>
  <sheetData>
    <row r="1" ht="12.75">
      <c r="B1" s="712" t="s">
        <v>549</v>
      </c>
    </row>
    <row r="2" spans="1:4" ht="12.75">
      <c r="A2" s="10" t="s">
        <v>312</v>
      </c>
      <c r="B2" s="713"/>
      <c r="C2" s="10" t="s">
        <v>313</v>
      </c>
      <c r="D2" s="168" t="s">
        <v>34</v>
      </c>
    </row>
    <row r="3" spans="1:5" ht="12.75">
      <c r="A3" s="228" t="s">
        <v>152</v>
      </c>
      <c r="B3" s="122" t="s">
        <v>314</v>
      </c>
      <c r="C3" s="11" t="s">
        <v>315</v>
      </c>
      <c r="D3" s="240">
        <v>10</v>
      </c>
      <c r="E3" s="58" t="s">
        <v>162</v>
      </c>
    </row>
    <row r="4" spans="1:5" ht="14.25">
      <c r="A4" s="518">
        <v>73599</v>
      </c>
      <c r="B4" s="122" t="s">
        <v>425</v>
      </c>
      <c r="C4" s="11"/>
      <c r="D4" s="240"/>
      <c r="E4" s="58"/>
    </row>
    <row r="5" spans="1:5" ht="14.25">
      <c r="A5" s="228" t="s">
        <v>213</v>
      </c>
      <c r="B5" s="144" t="s">
        <v>318</v>
      </c>
      <c r="C5" s="11" t="s">
        <v>315</v>
      </c>
      <c r="D5" s="240"/>
      <c r="E5" s="58" t="s">
        <v>162</v>
      </c>
    </row>
    <row r="6" spans="1:5" ht="12.75">
      <c r="A6" s="228" t="s">
        <v>197</v>
      </c>
      <c r="B6" s="122" t="s">
        <v>317</v>
      </c>
      <c r="C6" s="11" t="s">
        <v>316</v>
      </c>
      <c r="D6" s="240"/>
      <c r="E6" s="58" t="s">
        <v>162</v>
      </c>
    </row>
    <row r="7" spans="1:5" ht="12.75">
      <c r="A7" s="228" t="s">
        <v>403</v>
      </c>
      <c r="B7" s="122" t="s">
        <v>402</v>
      </c>
      <c r="C7" s="228" t="s">
        <v>316</v>
      </c>
      <c r="D7" s="186"/>
      <c r="E7" s="58" t="s">
        <v>226</v>
      </c>
    </row>
    <row r="10" spans="1:5" ht="12.75">
      <c r="A10" s="11">
        <v>73730</v>
      </c>
      <c r="B10" s="122" t="s">
        <v>319</v>
      </c>
      <c r="C10" s="11" t="s">
        <v>320</v>
      </c>
      <c r="D10" s="240"/>
      <c r="E10" s="58" t="s">
        <v>162</v>
      </c>
    </row>
    <row r="11" spans="1:5" ht="12.75">
      <c r="A11" s="11">
        <v>73724</v>
      </c>
      <c r="B11" s="122" t="s">
        <v>321</v>
      </c>
      <c r="C11" s="11" t="s">
        <v>320</v>
      </c>
      <c r="D11" s="240"/>
      <c r="E11" s="234" t="s">
        <v>162</v>
      </c>
    </row>
    <row r="12" spans="1:5" ht="12.75">
      <c r="A12" s="11">
        <v>73722</v>
      </c>
      <c r="B12" s="122" t="s">
        <v>322</v>
      </c>
      <c r="C12" s="11" t="s">
        <v>320</v>
      </c>
      <c r="D12" s="240"/>
      <c r="E12" s="234" t="s">
        <v>162</v>
      </c>
    </row>
    <row r="13" spans="1:5" ht="12.75">
      <c r="A13" s="11">
        <v>73720</v>
      </c>
      <c r="B13" s="122" t="s">
        <v>323</v>
      </c>
      <c r="C13" s="11" t="s">
        <v>320</v>
      </c>
      <c r="D13" s="240"/>
      <c r="E13" s="234" t="s">
        <v>162</v>
      </c>
    </row>
    <row r="14" spans="1:5" ht="12.75">
      <c r="A14" s="11">
        <v>73721</v>
      </c>
      <c r="B14" s="122" t="s">
        <v>324</v>
      </c>
      <c r="C14" s="11" t="s">
        <v>320</v>
      </c>
      <c r="D14" s="240"/>
      <c r="E14" s="234" t="s">
        <v>162</v>
      </c>
    </row>
    <row r="15" spans="1:5" ht="12.75">
      <c r="A15" s="11">
        <v>73719</v>
      </c>
      <c r="B15" s="122" t="s">
        <v>325</v>
      </c>
      <c r="C15" s="11" t="s">
        <v>320</v>
      </c>
      <c r="D15" s="240"/>
      <c r="E15" s="234" t="s">
        <v>162</v>
      </c>
    </row>
    <row r="16" spans="1:5" ht="12.75">
      <c r="A16" s="11">
        <v>73718</v>
      </c>
      <c r="B16" s="122" t="s">
        <v>326</v>
      </c>
      <c r="C16" s="11" t="s">
        <v>320</v>
      </c>
      <c r="D16" s="240"/>
      <c r="E16" s="234" t="s">
        <v>162</v>
      </c>
    </row>
    <row r="19" spans="1:5" ht="12.75">
      <c r="A19" s="11">
        <v>7790</v>
      </c>
      <c r="B19" s="122" t="s">
        <v>327</v>
      </c>
      <c r="C19" s="11" t="s">
        <v>320</v>
      </c>
      <c r="D19" s="240"/>
      <c r="E19" s="58" t="s">
        <v>162</v>
      </c>
    </row>
    <row r="20" spans="1:5" ht="12.75">
      <c r="A20" s="11">
        <v>7785</v>
      </c>
      <c r="B20" s="122" t="s">
        <v>328</v>
      </c>
      <c r="C20" s="11" t="s">
        <v>320</v>
      </c>
      <c r="D20" s="240"/>
      <c r="E20" s="234" t="s">
        <v>162</v>
      </c>
    </row>
    <row r="21" spans="1:5" ht="12.75">
      <c r="A21" s="11">
        <v>7761</v>
      </c>
      <c r="B21" s="122" t="s">
        <v>329</v>
      </c>
      <c r="C21" s="11" t="s">
        <v>320</v>
      </c>
      <c r="D21" s="240"/>
      <c r="E21" s="234" t="s">
        <v>162</v>
      </c>
    </row>
    <row r="22" spans="1:5" ht="12.75">
      <c r="A22" s="11">
        <v>7793</v>
      </c>
      <c r="B22" s="122" t="s">
        <v>331</v>
      </c>
      <c r="C22" s="11" t="s">
        <v>320</v>
      </c>
      <c r="D22" s="240"/>
      <c r="E22" s="234" t="s">
        <v>162</v>
      </c>
    </row>
    <row r="23" spans="1:5" ht="12.75">
      <c r="A23" s="11">
        <v>7762</v>
      </c>
      <c r="B23" s="122" t="s">
        <v>330</v>
      </c>
      <c r="C23" s="11" t="s">
        <v>320</v>
      </c>
      <c r="D23" s="240"/>
      <c r="E23" s="234" t="s">
        <v>162</v>
      </c>
    </row>
    <row r="24" spans="1:5" ht="12.75">
      <c r="A24" s="11">
        <v>7763</v>
      </c>
      <c r="B24" s="122" t="s">
        <v>332</v>
      </c>
      <c r="C24" s="11" t="s">
        <v>320</v>
      </c>
      <c r="D24" s="240"/>
      <c r="E24" s="234" t="s">
        <v>162</v>
      </c>
    </row>
    <row r="25" spans="1:5" ht="12.75">
      <c r="A25" s="11">
        <v>7765</v>
      </c>
      <c r="B25" s="122" t="s">
        <v>333</v>
      </c>
      <c r="C25" s="11" t="s">
        <v>320</v>
      </c>
      <c r="D25" s="240"/>
      <c r="E25" s="234" t="s">
        <v>162</v>
      </c>
    </row>
    <row r="26" spans="1:5" ht="12.75">
      <c r="A26" s="11">
        <v>7766</v>
      </c>
      <c r="B26" s="122" t="s">
        <v>334</v>
      </c>
      <c r="C26" s="11" t="s">
        <v>320</v>
      </c>
      <c r="D26" s="240"/>
      <c r="E26" s="234" t="s">
        <v>162</v>
      </c>
    </row>
    <row r="27" spans="1:5" ht="12.75">
      <c r="A27" s="11">
        <v>7767</v>
      </c>
      <c r="B27" s="122" t="s">
        <v>335</v>
      </c>
      <c r="C27" s="11" t="s">
        <v>320</v>
      </c>
      <c r="D27" s="240"/>
      <c r="E27" s="234" t="s">
        <v>162</v>
      </c>
    </row>
    <row r="30" spans="1:5" ht="12.75">
      <c r="A30" s="11">
        <v>72920</v>
      </c>
      <c r="B30" s="122" t="s">
        <v>336</v>
      </c>
      <c r="C30" s="11" t="s">
        <v>316</v>
      </c>
      <c r="D30" s="240"/>
      <c r="E30" s="58" t="s">
        <v>162</v>
      </c>
    </row>
    <row r="31" spans="1:5" ht="12.75">
      <c r="A31" s="11">
        <v>72921</v>
      </c>
      <c r="B31" s="122" t="s">
        <v>337</v>
      </c>
      <c r="C31" s="11" t="s">
        <v>316</v>
      </c>
      <c r="D31" s="240"/>
      <c r="E31" s="58" t="s">
        <v>162</v>
      </c>
    </row>
    <row r="33" spans="1:5" ht="12.75">
      <c r="A33" s="228" t="s">
        <v>264</v>
      </c>
      <c r="B33" s="122" t="s">
        <v>263</v>
      </c>
      <c r="C33" s="11" t="s">
        <v>338</v>
      </c>
      <c r="D33" s="240"/>
      <c r="E33" s="58" t="s">
        <v>162</v>
      </c>
    </row>
    <row r="34" spans="1:5" ht="12.75">
      <c r="A34" s="228" t="s">
        <v>266</v>
      </c>
      <c r="B34" s="122" t="s">
        <v>265</v>
      </c>
      <c r="C34" s="11" t="s">
        <v>338</v>
      </c>
      <c r="D34" s="240"/>
      <c r="E34" s="234" t="s">
        <v>162</v>
      </c>
    </row>
    <row r="35" spans="1:5" ht="12.75">
      <c r="A35" s="228" t="s">
        <v>268</v>
      </c>
      <c r="B35" s="122" t="s">
        <v>267</v>
      </c>
      <c r="C35" s="11" t="s">
        <v>338</v>
      </c>
      <c r="D35" s="240"/>
      <c r="E35" s="234" t="s">
        <v>162</v>
      </c>
    </row>
    <row r="36" spans="1:5" ht="12.75">
      <c r="A36" s="228" t="s">
        <v>270</v>
      </c>
      <c r="B36" s="122" t="s">
        <v>269</v>
      </c>
      <c r="C36" s="11" t="s">
        <v>338</v>
      </c>
      <c r="D36" s="240"/>
      <c r="E36" s="234" t="s">
        <v>162</v>
      </c>
    </row>
    <row r="37" spans="1:5" ht="12.75">
      <c r="A37" s="228" t="s">
        <v>393</v>
      </c>
      <c r="B37" s="122" t="s">
        <v>271</v>
      </c>
      <c r="C37" s="11" t="s">
        <v>338</v>
      </c>
      <c r="D37" s="240"/>
      <c r="E37" s="234" t="s">
        <v>162</v>
      </c>
    </row>
    <row r="40" spans="1:5" ht="12.75">
      <c r="A40" s="228" t="s">
        <v>273</v>
      </c>
      <c r="B40" s="122" t="s">
        <v>272</v>
      </c>
      <c r="C40" s="11" t="s">
        <v>338</v>
      </c>
      <c r="D40" s="240"/>
      <c r="E40" s="58" t="s">
        <v>162</v>
      </c>
    </row>
    <row r="41" spans="1:5" ht="12.75">
      <c r="A41" s="228" t="s">
        <v>275</v>
      </c>
      <c r="B41" s="122" t="s">
        <v>274</v>
      </c>
      <c r="C41" s="11" t="s">
        <v>338</v>
      </c>
      <c r="D41" s="240"/>
      <c r="E41" s="234" t="s">
        <v>162</v>
      </c>
    </row>
    <row r="42" spans="1:5" ht="12.75">
      <c r="A42" s="228" t="s">
        <v>277</v>
      </c>
      <c r="B42" s="122" t="s">
        <v>276</v>
      </c>
      <c r="C42" s="11" t="s">
        <v>338</v>
      </c>
      <c r="D42" s="240"/>
      <c r="E42" s="234" t="s">
        <v>162</v>
      </c>
    </row>
    <row r="43" spans="1:5" ht="12.75">
      <c r="A43" s="228" t="s">
        <v>279</v>
      </c>
      <c r="B43" s="122" t="s">
        <v>278</v>
      </c>
      <c r="C43" s="11" t="s">
        <v>338</v>
      </c>
      <c r="D43" s="240"/>
      <c r="E43" s="234" t="s">
        <v>162</v>
      </c>
    </row>
    <row r="44" spans="1:5" ht="12.75">
      <c r="A44" s="228" t="s">
        <v>281</v>
      </c>
      <c r="B44" s="122" t="s">
        <v>280</v>
      </c>
      <c r="C44" s="11" t="s">
        <v>338</v>
      </c>
      <c r="D44" s="240"/>
      <c r="E44" s="234" t="s">
        <v>162</v>
      </c>
    </row>
    <row r="45" ht="12.75">
      <c r="D45" s="170"/>
    </row>
    <row r="47" spans="1:5" ht="12.75">
      <c r="A47" s="11">
        <v>72961</v>
      </c>
      <c r="B47" s="122" t="s">
        <v>339</v>
      </c>
      <c r="C47" s="11" t="s">
        <v>315</v>
      </c>
      <c r="D47" s="240"/>
      <c r="E47" s="58" t="s">
        <v>162</v>
      </c>
    </row>
    <row r="48" spans="1:5" ht="12.75">
      <c r="A48" s="11">
        <v>72948</v>
      </c>
      <c r="B48" s="122" t="s">
        <v>340</v>
      </c>
      <c r="C48" s="11" t="s">
        <v>316</v>
      </c>
      <c r="D48" s="240"/>
      <c r="E48" s="234" t="s">
        <v>162</v>
      </c>
    </row>
    <row r="49" spans="1:5" ht="12.75">
      <c r="A49" s="228" t="s">
        <v>233</v>
      </c>
      <c r="B49" s="122" t="s">
        <v>234</v>
      </c>
      <c r="C49" s="11" t="s">
        <v>316</v>
      </c>
      <c r="D49" s="240"/>
      <c r="E49" s="234" t="s">
        <v>162</v>
      </c>
    </row>
    <row r="50" spans="1:5" ht="12.75">
      <c r="A50" s="228" t="s">
        <v>348</v>
      </c>
      <c r="B50" s="122" t="s">
        <v>347</v>
      </c>
      <c r="C50" s="11" t="s">
        <v>316</v>
      </c>
      <c r="D50" s="240"/>
      <c r="E50" s="234" t="s">
        <v>162</v>
      </c>
    </row>
    <row r="51" spans="1:8" ht="14.25">
      <c r="A51" s="228" t="s">
        <v>157</v>
      </c>
      <c r="B51" s="122" t="s">
        <v>341</v>
      </c>
      <c r="C51" s="11" t="s">
        <v>320</v>
      </c>
      <c r="D51" s="240"/>
      <c r="E51" s="234" t="s">
        <v>162</v>
      </c>
      <c r="H51" s="247"/>
    </row>
    <row r="52" spans="1:5" ht="12.75">
      <c r="A52" s="228" t="s">
        <v>343</v>
      </c>
      <c r="B52" s="122" t="s">
        <v>342</v>
      </c>
      <c r="C52" s="11" t="s">
        <v>320</v>
      </c>
      <c r="D52" s="240"/>
      <c r="E52" s="234" t="s">
        <v>162</v>
      </c>
    </row>
    <row r="53" spans="1:5" s="246" customFormat="1" ht="12.75">
      <c r="A53" s="241" t="s">
        <v>307</v>
      </c>
      <c r="B53" s="242" t="s">
        <v>344</v>
      </c>
      <c r="C53" s="243" t="s">
        <v>315</v>
      </c>
      <c r="D53" s="244"/>
      <c r="E53" s="245" t="s">
        <v>162</v>
      </c>
    </row>
    <row r="54" spans="1:5" ht="12.75">
      <c r="A54" s="228" t="s">
        <v>216</v>
      </c>
      <c r="B54" s="122" t="s">
        <v>384</v>
      </c>
      <c r="C54" s="11" t="s">
        <v>315</v>
      </c>
      <c r="D54" s="240"/>
      <c r="E54" s="234" t="s">
        <v>162</v>
      </c>
    </row>
    <row r="55" spans="1:5" ht="12.75">
      <c r="A55" s="228" t="s">
        <v>345</v>
      </c>
      <c r="B55" s="122" t="s">
        <v>385</v>
      </c>
      <c r="C55" s="11" t="s">
        <v>315</v>
      </c>
      <c r="D55" s="240"/>
      <c r="E55" s="234" t="s">
        <v>162</v>
      </c>
    </row>
    <row r="56" spans="1:5" ht="12.75">
      <c r="A56" s="11">
        <v>72944</v>
      </c>
      <c r="B56" s="122" t="s">
        <v>346</v>
      </c>
      <c r="C56" s="11" t="s">
        <v>315</v>
      </c>
      <c r="D56" s="240"/>
      <c r="E56" s="234" t="s">
        <v>162</v>
      </c>
    </row>
    <row r="57" spans="1:4" ht="12.75">
      <c r="A57" s="8"/>
      <c r="B57" s="169"/>
      <c r="C57" s="8"/>
      <c r="D57" s="170"/>
    </row>
    <row r="58" spans="1:4" ht="12.75">
      <c r="A58" s="8"/>
      <c r="B58" s="169"/>
      <c r="C58" s="8"/>
      <c r="D58" s="170"/>
    </row>
    <row r="59" spans="1:5" ht="12.75">
      <c r="A59" s="228" t="s">
        <v>217</v>
      </c>
      <c r="B59" s="122" t="s">
        <v>349</v>
      </c>
      <c r="C59" s="11" t="s">
        <v>315</v>
      </c>
      <c r="D59" s="240"/>
      <c r="E59" s="58" t="s">
        <v>162</v>
      </c>
    </row>
    <row r="60" spans="1:5" ht="12.75">
      <c r="A60" s="11">
        <v>6081</v>
      </c>
      <c r="B60" s="122" t="s">
        <v>350</v>
      </c>
      <c r="C60" s="11" t="s">
        <v>316</v>
      </c>
      <c r="D60" s="240"/>
      <c r="E60" s="234" t="s">
        <v>162</v>
      </c>
    </row>
    <row r="61" spans="1:4" ht="12.75">
      <c r="A61" s="8"/>
      <c r="B61" s="169"/>
      <c r="C61" s="8"/>
      <c r="D61" s="170"/>
    </row>
    <row r="63" spans="1:5" ht="12.75">
      <c r="A63" s="11">
        <v>72942</v>
      </c>
      <c r="B63" s="122" t="s">
        <v>351</v>
      </c>
      <c r="C63" s="11" t="s">
        <v>315</v>
      </c>
      <c r="D63" s="240"/>
      <c r="E63" s="58" t="s">
        <v>162</v>
      </c>
    </row>
    <row r="64" spans="1:5" ht="12.75">
      <c r="A64" s="11">
        <v>72943</v>
      </c>
      <c r="B64" s="122" t="s">
        <v>352</v>
      </c>
      <c r="C64" s="11" t="s">
        <v>315</v>
      </c>
      <c r="D64" s="240"/>
      <c r="E64" s="58" t="s">
        <v>162</v>
      </c>
    </row>
    <row r="65" spans="1:5" ht="12.75">
      <c r="A65" s="11">
        <v>72945</v>
      </c>
      <c r="B65" s="122" t="s">
        <v>353</v>
      </c>
      <c r="C65" s="11" t="s">
        <v>315</v>
      </c>
      <c r="D65" s="240"/>
      <c r="E65" s="58" t="s">
        <v>162</v>
      </c>
    </row>
    <row r="66" spans="1:5" ht="12.75">
      <c r="A66" s="11">
        <v>72946</v>
      </c>
      <c r="B66" s="122" t="s">
        <v>354</v>
      </c>
      <c r="C66" s="11" t="s">
        <v>315</v>
      </c>
      <c r="D66" s="240"/>
      <c r="E66" s="234" t="s">
        <v>162</v>
      </c>
    </row>
    <row r="67" spans="1:5" ht="12.75">
      <c r="A67" s="11">
        <v>72954</v>
      </c>
      <c r="B67" s="122" t="s">
        <v>355</v>
      </c>
      <c r="C67" s="11" t="s">
        <v>315</v>
      </c>
      <c r="D67" s="240"/>
      <c r="E67" s="234" t="s">
        <v>162</v>
      </c>
    </row>
    <row r="68" spans="1:5" ht="12.75">
      <c r="A68" s="11">
        <v>72955</v>
      </c>
      <c r="B68" s="122" t="s">
        <v>356</v>
      </c>
      <c r="C68" s="11" t="s">
        <v>315</v>
      </c>
      <c r="D68" s="240"/>
      <c r="E68" s="234" t="s">
        <v>162</v>
      </c>
    </row>
    <row r="69" spans="1:5" ht="12.75">
      <c r="A69" s="11">
        <v>73710</v>
      </c>
      <c r="B69" s="122" t="s">
        <v>357</v>
      </c>
      <c r="C69" s="11" t="s">
        <v>316</v>
      </c>
      <c r="D69" s="240"/>
      <c r="E69" s="234" t="s">
        <v>162</v>
      </c>
    </row>
    <row r="70" spans="1:5" ht="12.75">
      <c r="A70" s="11">
        <v>73711</v>
      </c>
      <c r="B70" s="122" t="s">
        <v>358</v>
      </c>
      <c r="C70" s="11" t="s">
        <v>316</v>
      </c>
      <c r="D70" s="240"/>
      <c r="E70" s="234" t="s">
        <v>162</v>
      </c>
    </row>
    <row r="71" spans="1:5" ht="12.75">
      <c r="A71" s="11">
        <v>72965</v>
      </c>
      <c r="B71" s="237" t="s">
        <v>394</v>
      </c>
      <c r="C71" s="11" t="s">
        <v>316</v>
      </c>
      <c r="D71" s="240"/>
      <c r="E71" s="234" t="s">
        <v>162</v>
      </c>
    </row>
    <row r="72" ht="12.75">
      <c r="D72" s="186"/>
    </row>
    <row r="75" spans="1:5" ht="12.75">
      <c r="A75" s="228" t="s">
        <v>163</v>
      </c>
      <c r="B75" s="122" t="s">
        <v>360</v>
      </c>
      <c r="C75" s="11"/>
      <c r="D75" s="240"/>
      <c r="E75" s="58" t="s">
        <v>162</v>
      </c>
    </row>
    <row r="76" spans="1:5" ht="12.75">
      <c r="A76" s="11">
        <v>72831</v>
      </c>
      <c r="B76" s="122" t="s">
        <v>359</v>
      </c>
      <c r="C76" s="11" t="s">
        <v>315</v>
      </c>
      <c r="D76" s="240"/>
      <c r="E76" s="58" t="s">
        <v>162</v>
      </c>
    </row>
    <row r="77" spans="1:5" ht="12.75">
      <c r="A77" s="228" t="s">
        <v>310</v>
      </c>
      <c r="B77" s="122" t="s">
        <v>361</v>
      </c>
      <c r="C77" s="11" t="s">
        <v>362</v>
      </c>
      <c r="D77" s="240"/>
      <c r="E77" s="58" t="s">
        <v>162</v>
      </c>
    </row>
    <row r="78" spans="1:5" ht="12.75">
      <c r="A78" s="228" t="s">
        <v>364</v>
      </c>
      <c r="B78" s="122" t="s">
        <v>363</v>
      </c>
      <c r="C78" s="11" t="s">
        <v>362</v>
      </c>
      <c r="D78" s="240"/>
      <c r="E78" s="234" t="s">
        <v>162</v>
      </c>
    </row>
    <row r="79" spans="1:5" ht="12.75">
      <c r="A79" s="228" t="s">
        <v>311</v>
      </c>
      <c r="B79" s="122" t="s">
        <v>365</v>
      </c>
      <c r="C79" s="11" t="s">
        <v>362</v>
      </c>
      <c r="D79" s="240"/>
      <c r="E79" s="234" t="s">
        <v>162</v>
      </c>
    </row>
    <row r="80" spans="1:5" ht="12.75">
      <c r="A80" s="228" t="s">
        <v>367</v>
      </c>
      <c r="B80" s="122" t="s">
        <v>366</v>
      </c>
      <c r="C80" s="11" t="s">
        <v>362</v>
      </c>
      <c r="D80" s="240"/>
      <c r="E80" s="234" t="s">
        <v>162</v>
      </c>
    </row>
    <row r="81" spans="1:5" ht="12.75">
      <c r="A81" s="228" t="s">
        <v>35</v>
      </c>
      <c r="B81" s="122" t="s">
        <v>368</v>
      </c>
      <c r="C81" s="11" t="s">
        <v>316</v>
      </c>
      <c r="D81" s="240"/>
      <c r="E81" s="234" t="s">
        <v>162</v>
      </c>
    </row>
    <row r="82" spans="1:5" ht="12.75">
      <c r="A82" s="228" t="s">
        <v>370</v>
      </c>
      <c r="B82" s="122" t="s">
        <v>369</v>
      </c>
      <c r="C82" s="11" t="s">
        <v>316</v>
      </c>
      <c r="D82" s="240"/>
      <c r="E82" s="234" t="s">
        <v>162</v>
      </c>
    </row>
    <row r="83" spans="1:5" ht="12.75">
      <c r="A83" s="228" t="s">
        <v>372</v>
      </c>
      <c r="B83" s="122" t="s">
        <v>371</v>
      </c>
      <c r="C83" s="11" t="s">
        <v>316</v>
      </c>
      <c r="D83" s="240"/>
      <c r="E83" s="234" t="s">
        <v>162</v>
      </c>
    </row>
    <row r="84" spans="1:5" ht="12.75">
      <c r="A84" s="228" t="s">
        <v>309</v>
      </c>
      <c r="B84" s="122" t="s">
        <v>308</v>
      </c>
      <c r="C84" s="11" t="s">
        <v>316</v>
      </c>
      <c r="D84" s="240"/>
      <c r="E84" s="234" t="s">
        <v>162</v>
      </c>
    </row>
    <row r="85" spans="1:5" ht="12.75">
      <c r="A85" s="11">
        <v>32</v>
      </c>
      <c r="B85" s="122" t="s">
        <v>373</v>
      </c>
      <c r="C85" s="11" t="s">
        <v>362</v>
      </c>
      <c r="D85" s="240"/>
      <c r="E85" s="234" t="s">
        <v>162</v>
      </c>
    </row>
    <row r="86" spans="1:5" ht="12.75">
      <c r="A86" s="11">
        <v>34</v>
      </c>
      <c r="B86" s="122" t="s">
        <v>374</v>
      </c>
      <c r="C86" s="11" t="s">
        <v>362</v>
      </c>
      <c r="D86" s="240"/>
      <c r="E86" s="234" t="s">
        <v>162</v>
      </c>
    </row>
    <row r="87" spans="1:5" ht="12.75">
      <c r="A87" s="11">
        <v>7258</v>
      </c>
      <c r="B87" s="122" t="s">
        <v>375</v>
      </c>
      <c r="C87" s="11" t="s">
        <v>338</v>
      </c>
      <c r="D87" s="240"/>
      <c r="E87" s="234" t="s">
        <v>162</v>
      </c>
    </row>
    <row r="88" spans="1:5" ht="12.75">
      <c r="A88" s="11">
        <v>371</v>
      </c>
      <c r="B88" s="122" t="s">
        <v>376</v>
      </c>
      <c r="C88" s="11" t="s">
        <v>362</v>
      </c>
      <c r="D88" s="240"/>
      <c r="E88" s="234" t="s">
        <v>162</v>
      </c>
    </row>
    <row r="89" spans="1:5" ht="12.75">
      <c r="A89" s="11">
        <v>21090</v>
      </c>
      <c r="B89" s="122" t="s">
        <v>377</v>
      </c>
      <c r="C89" s="11" t="s">
        <v>338</v>
      </c>
      <c r="D89" s="240"/>
      <c r="E89" s="234" t="s">
        <v>162</v>
      </c>
    </row>
    <row r="90" spans="1:5" ht="12.75">
      <c r="A90" s="11" t="s">
        <v>404</v>
      </c>
      <c r="B90" s="122" t="s">
        <v>405</v>
      </c>
      <c r="C90" s="11" t="s">
        <v>4</v>
      </c>
      <c r="D90" s="240"/>
      <c r="E90" s="234" t="s">
        <v>162</v>
      </c>
    </row>
    <row r="91" spans="1:5" ht="12.75">
      <c r="A91" s="11">
        <v>6127</v>
      </c>
      <c r="B91" s="122" t="s">
        <v>378</v>
      </c>
      <c r="C91" s="11" t="s">
        <v>379</v>
      </c>
      <c r="D91" s="240"/>
      <c r="E91" s="234" t="s">
        <v>162</v>
      </c>
    </row>
    <row r="92" spans="1:5" ht="12.75">
      <c r="A92" s="11">
        <v>4750</v>
      </c>
      <c r="B92" s="122" t="s">
        <v>380</v>
      </c>
      <c r="C92" s="11" t="s">
        <v>379</v>
      </c>
      <c r="D92" s="240"/>
      <c r="E92" s="234" t="s">
        <v>162</v>
      </c>
    </row>
    <row r="94" ht="12.75">
      <c r="D94" s="186"/>
    </row>
    <row r="95" spans="1:5" ht="14.25">
      <c r="A95" s="228" t="s">
        <v>218</v>
      </c>
      <c r="B95" s="145" t="s">
        <v>382</v>
      </c>
      <c r="C95" s="11" t="s">
        <v>338</v>
      </c>
      <c r="D95" s="186"/>
      <c r="E95" s="58" t="s">
        <v>162</v>
      </c>
    </row>
    <row r="96" spans="1:5" ht="12.75">
      <c r="A96" s="228" t="s">
        <v>153</v>
      </c>
      <c r="B96" s="122" t="s">
        <v>381</v>
      </c>
      <c r="C96" s="11" t="s">
        <v>338</v>
      </c>
      <c r="D96" s="240"/>
      <c r="E96" s="234" t="s">
        <v>162</v>
      </c>
    </row>
    <row r="97" spans="1:5" ht="12.75">
      <c r="A97" s="11">
        <v>72947</v>
      </c>
      <c r="B97" s="237" t="s">
        <v>396</v>
      </c>
      <c r="C97" s="228" t="s">
        <v>3</v>
      </c>
      <c r="D97" s="240"/>
      <c r="E97" s="234" t="s">
        <v>162</v>
      </c>
    </row>
    <row r="98" spans="1:5" ht="12.75">
      <c r="A98" s="228" t="s">
        <v>397</v>
      </c>
      <c r="B98" s="237" t="s">
        <v>398</v>
      </c>
      <c r="C98" s="228" t="s">
        <v>3</v>
      </c>
      <c r="D98" s="186"/>
      <c r="E98" s="234" t="s">
        <v>162</v>
      </c>
    </row>
    <row r="99" spans="1:5" ht="12.75">
      <c r="A99" s="228" t="s">
        <v>395</v>
      </c>
      <c r="B99" s="237" t="s">
        <v>399</v>
      </c>
      <c r="C99" s="228" t="s">
        <v>4</v>
      </c>
      <c r="D99" s="186"/>
      <c r="E99" s="234" t="s">
        <v>162</v>
      </c>
    </row>
    <row r="100" spans="1:5" ht="12.75">
      <c r="A100" s="228" t="s">
        <v>401</v>
      </c>
      <c r="B100" s="122" t="s">
        <v>400</v>
      </c>
      <c r="C100" s="228" t="s">
        <v>50</v>
      </c>
      <c r="D100" s="186"/>
      <c r="E100" s="234" t="s">
        <v>162</v>
      </c>
    </row>
    <row r="101" spans="1:5" ht="12.75">
      <c r="A101" s="228" t="s">
        <v>407</v>
      </c>
      <c r="B101" s="122" t="s">
        <v>406</v>
      </c>
      <c r="C101" s="228" t="s">
        <v>4</v>
      </c>
      <c r="D101" s="186"/>
      <c r="E101" s="234" t="s">
        <v>162</v>
      </c>
    </row>
    <row r="102" spans="1:5" ht="12.75">
      <c r="A102" s="228" t="s">
        <v>409</v>
      </c>
      <c r="B102" s="122" t="s">
        <v>408</v>
      </c>
      <c r="C102" s="228" t="s">
        <v>2</v>
      </c>
      <c r="D102" s="186"/>
      <c r="E102" s="234" t="s">
        <v>226</v>
      </c>
    </row>
    <row r="104" spans="1:4" ht="14.25">
      <c r="A104" s="11" t="s">
        <v>415</v>
      </c>
      <c r="B104" s="145" t="s">
        <v>382</v>
      </c>
      <c r="C104" s="228" t="s">
        <v>3</v>
      </c>
      <c r="D104" s="240"/>
    </row>
    <row r="105" spans="1:4" ht="12.75">
      <c r="A105" s="11" t="s">
        <v>153</v>
      </c>
      <c r="B105" s="122" t="s">
        <v>381</v>
      </c>
      <c r="C105" s="11" t="s">
        <v>338</v>
      </c>
      <c r="D105" s="240"/>
    </row>
  </sheetData>
  <sheetProtection/>
  <mergeCells count="1">
    <mergeCell ref="B1:B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3">
      <selection activeCell="E33" sqref="E33:E34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3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334"/>
      <c r="B1" s="683" t="s">
        <v>21</v>
      </c>
      <c r="C1" s="683"/>
      <c r="D1" s="683"/>
      <c r="E1" s="683" t="s">
        <v>22</v>
      </c>
      <c r="F1" s="684" t="str">
        <f>'dados de entrada'!B9</f>
        <v>SINAPI - 01/01/2014 - COM DESONERAÇÃO - SICRO 01/11/2013</v>
      </c>
      <c r="G1" s="251"/>
      <c r="H1" s="357" t="s">
        <v>230</v>
      </c>
      <c r="I1" s="251"/>
      <c r="J1" s="251"/>
    </row>
    <row r="2" spans="1:10" ht="12.75">
      <c r="A2" s="685" t="str">
        <f>'dados de entrada'!B15</f>
        <v>PREFEITURA MUNICIPAL DE BOMBINHAS</v>
      </c>
      <c r="B2" s="686"/>
      <c r="C2" s="252"/>
      <c r="D2" s="252"/>
      <c r="E2" s="252" t="s">
        <v>23</v>
      </c>
      <c r="F2" s="687" t="s">
        <v>24</v>
      </c>
      <c r="G2" s="251"/>
      <c r="H2" s="251"/>
      <c r="I2" s="251"/>
      <c r="J2" s="251"/>
    </row>
    <row r="3" spans="1:10" ht="12.75">
      <c r="A3" s="685" t="str">
        <f>'dados de entrada'!C19</f>
        <v>RUA CANGURU - BAIRRO JOSÉ AMANDIO</v>
      </c>
      <c r="B3" s="686"/>
      <c r="C3" s="252"/>
      <c r="D3" s="252"/>
      <c r="E3" s="252" t="s">
        <v>25</v>
      </c>
      <c r="F3" s="341" t="s">
        <v>26</v>
      </c>
      <c r="G3" s="251"/>
      <c r="H3" s="251"/>
      <c r="I3" s="251"/>
      <c r="J3" s="251"/>
    </row>
    <row r="4" spans="1:10" ht="12.75">
      <c r="A4" s="685" t="str">
        <f>'dados de entrada'!B8</f>
        <v>PAVIMENTAÇÃO COM LAJOTAS SEXTAVADAS E DRENAGEM PLUVIAL </v>
      </c>
      <c r="B4" s="686"/>
      <c r="C4" s="252"/>
      <c r="D4" s="252"/>
      <c r="E4" s="252"/>
      <c r="F4" s="688"/>
      <c r="G4" s="251"/>
      <c r="H4" s="251"/>
      <c r="I4" s="251"/>
      <c r="J4" s="251"/>
    </row>
    <row r="5" spans="1:10" ht="12.75">
      <c r="A5" s="1175" t="s">
        <v>27</v>
      </c>
      <c r="B5" s="1176"/>
      <c r="C5" s="1176"/>
      <c r="D5" s="1176"/>
      <c r="E5" s="1176"/>
      <c r="F5" s="1177"/>
      <c r="G5" s="251"/>
      <c r="H5" s="251"/>
      <c r="I5" s="251"/>
      <c r="J5" s="251"/>
    </row>
    <row r="6" spans="1:10" ht="12.75">
      <c r="A6" s="1165"/>
      <c r="B6" s="1166"/>
      <c r="C6" s="1166"/>
      <c r="D6" s="1166"/>
      <c r="E6" s="1166"/>
      <c r="F6" s="1167"/>
      <c r="G6" s="251"/>
      <c r="H6" s="251"/>
      <c r="I6" s="251"/>
      <c r="J6" s="251"/>
    </row>
    <row r="7" spans="1:10" ht="12.75">
      <c r="A7" s="1165" t="s">
        <v>28</v>
      </c>
      <c r="B7" s="1166"/>
      <c r="C7" s="1166"/>
      <c r="D7" s="1166" t="s">
        <v>29</v>
      </c>
      <c r="E7" s="1166"/>
      <c r="F7" s="653" t="s">
        <v>13</v>
      </c>
      <c r="G7" s="251"/>
      <c r="H7" s="251"/>
      <c r="I7" s="251"/>
      <c r="J7" s="251"/>
    </row>
    <row r="8" spans="1:10" ht="13.5" thickBot="1">
      <c r="A8" s="1178" t="s">
        <v>458</v>
      </c>
      <c r="B8" s="1179"/>
      <c r="C8" s="1179"/>
      <c r="D8" s="1166" t="s">
        <v>4</v>
      </c>
      <c r="E8" s="1166"/>
      <c r="F8" s="689">
        <f>'dados de entrada'!B3</f>
        <v>41671</v>
      </c>
      <c r="G8" s="251"/>
      <c r="H8" s="251"/>
      <c r="I8" s="251"/>
      <c r="J8" s="251"/>
    </row>
    <row r="9" spans="1:11" ht="13.5" thickBot="1">
      <c r="A9" s="1165"/>
      <c r="B9" s="1166"/>
      <c r="C9" s="1166"/>
      <c r="D9" s="1166"/>
      <c r="E9" s="1166"/>
      <c r="F9" s="1167"/>
      <c r="G9" s="251"/>
      <c r="H9" s="1173" t="s">
        <v>220</v>
      </c>
      <c r="I9" s="1174"/>
      <c r="J9" s="249">
        <f>Escavação!W22</f>
        <v>1.28</v>
      </c>
      <c r="K9" s="248" t="s">
        <v>426</v>
      </c>
    </row>
    <row r="10" spans="1:11" ht="13.5" thickBot="1">
      <c r="A10" s="690" t="s">
        <v>0</v>
      </c>
      <c r="B10" s="655" t="s">
        <v>30</v>
      </c>
      <c r="C10" s="655" t="s">
        <v>31</v>
      </c>
      <c r="D10" s="655" t="s">
        <v>32</v>
      </c>
      <c r="E10" s="655" t="s">
        <v>33</v>
      </c>
      <c r="F10" s="691" t="s">
        <v>34</v>
      </c>
      <c r="G10" s="251"/>
      <c r="H10" s="1173" t="s">
        <v>221</v>
      </c>
      <c r="I10" s="1174"/>
      <c r="J10" s="249">
        <f>((J9-0.2)*4*O13)-P14</f>
        <v>584.08</v>
      </c>
      <c r="K10" s="248" t="s">
        <v>427</v>
      </c>
    </row>
    <row r="11" spans="1:10" ht="12.75">
      <c r="A11" s="673">
        <v>73599</v>
      </c>
      <c r="B11" s="674" t="s">
        <v>425</v>
      </c>
      <c r="C11" s="675">
        <f>ROUNDUP(J9*1.7*1.7,1)</f>
        <v>3.7</v>
      </c>
      <c r="D11" s="676" t="s">
        <v>9</v>
      </c>
      <c r="E11" s="677">
        <v>7.67</v>
      </c>
      <c r="F11" s="678">
        <f aca="true" t="shared" si="0" ref="F11:F21">C11*E11</f>
        <v>28.379</v>
      </c>
      <c r="G11" s="251"/>
      <c r="H11" s="251"/>
      <c r="I11" s="251"/>
      <c r="J11" s="251"/>
    </row>
    <row r="12" spans="1:15" ht="12.75" customHeight="1">
      <c r="A12" s="637" t="s">
        <v>197</v>
      </c>
      <c r="B12" s="638" t="s">
        <v>428</v>
      </c>
      <c r="C12" s="633">
        <f>1.7*1.7*0.1</f>
        <v>0.289</v>
      </c>
      <c r="D12" s="634" t="s">
        <v>9</v>
      </c>
      <c r="E12" s="635">
        <v>97.19</v>
      </c>
      <c r="F12" s="636">
        <f t="shared" si="0"/>
        <v>28.087909999999997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25.5">
      <c r="A13" s="631" t="s">
        <v>35</v>
      </c>
      <c r="B13" s="638" t="s">
        <v>429</v>
      </c>
      <c r="C13" s="633">
        <f>1.7*1.7*0.1</f>
        <v>0.289</v>
      </c>
      <c r="D13" s="634" t="s">
        <v>9</v>
      </c>
      <c r="E13" s="635">
        <v>353.6</v>
      </c>
      <c r="F13" s="636">
        <f t="shared" si="0"/>
        <v>102.1904</v>
      </c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631">
        <v>34</v>
      </c>
      <c r="B14" s="638" t="s">
        <v>219</v>
      </c>
      <c r="C14" s="640">
        <v>37</v>
      </c>
      <c r="D14" s="634" t="s">
        <v>36</v>
      </c>
      <c r="E14" s="635">
        <v>3.66</v>
      </c>
      <c r="F14" s="636">
        <f t="shared" si="0"/>
        <v>135.42000000000002</v>
      </c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641">
        <v>7258</v>
      </c>
      <c r="B15" s="632" t="s">
        <v>224</v>
      </c>
      <c r="C15" s="642">
        <f>ROUNDUP(J10,0)</f>
        <v>585</v>
      </c>
      <c r="D15" s="322" t="s">
        <v>4</v>
      </c>
      <c r="E15" s="672">
        <v>0.45</v>
      </c>
      <c r="F15" s="644">
        <f t="shared" si="0"/>
        <v>263.25</v>
      </c>
      <c r="G15" s="251"/>
      <c r="H15" s="251"/>
      <c r="I15" s="251"/>
      <c r="J15" s="251"/>
    </row>
    <row r="16" spans="1:11" ht="12.75" customHeight="1" thickBot="1">
      <c r="A16" s="631">
        <v>371</v>
      </c>
      <c r="B16" s="638" t="s">
        <v>225</v>
      </c>
      <c r="C16" s="640">
        <f>ROUNDUP(J16,0)</f>
        <v>147</v>
      </c>
      <c r="D16" s="634" t="s">
        <v>36</v>
      </c>
      <c r="E16" s="635">
        <v>0.35</v>
      </c>
      <c r="F16" s="636">
        <f t="shared" si="0"/>
        <v>51.449999999999996</v>
      </c>
      <c r="G16" s="251"/>
      <c r="H16" s="1173" t="s">
        <v>146</v>
      </c>
      <c r="I16" s="1174"/>
      <c r="J16" s="249">
        <f>C15*0.25</f>
        <v>146.25</v>
      </c>
      <c r="K16" s="248" t="s">
        <v>222</v>
      </c>
    </row>
    <row r="17" spans="1:10" ht="25.5">
      <c r="A17" s="631" t="s">
        <v>35</v>
      </c>
      <c r="B17" s="645" t="s">
        <v>430</v>
      </c>
      <c r="C17" s="633">
        <f>ROUNDUP((1.2*1.2*0.15)-(PI()*(((0.6/2)^2)*0.15)),1)</f>
        <v>0.2</v>
      </c>
      <c r="D17" s="634" t="s">
        <v>9</v>
      </c>
      <c r="E17" s="635">
        <v>353.6</v>
      </c>
      <c r="F17" s="636">
        <f t="shared" si="0"/>
        <v>70.72000000000001</v>
      </c>
      <c r="G17" s="251"/>
      <c r="H17" s="251"/>
      <c r="I17" s="251"/>
      <c r="J17" s="251"/>
    </row>
    <row r="18" spans="1:10" ht="12.75">
      <c r="A18" s="631">
        <v>34</v>
      </c>
      <c r="B18" s="638" t="s">
        <v>219</v>
      </c>
      <c r="C18" s="640">
        <v>19</v>
      </c>
      <c r="D18" s="634" t="s">
        <v>36</v>
      </c>
      <c r="E18" s="635">
        <v>3.66</v>
      </c>
      <c r="F18" s="636">
        <f t="shared" si="0"/>
        <v>69.54</v>
      </c>
      <c r="G18" s="251"/>
      <c r="H18" s="251"/>
      <c r="I18" s="251"/>
      <c r="J18" s="251"/>
    </row>
    <row r="19" spans="1:10" ht="12.75">
      <c r="A19" s="646"/>
      <c r="B19" s="632"/>
      <c r="C19" s="647"/>
      <c r="D19" s="627"/>
      <c r="E19" s="635"/>
      <c r="F19" s="679"/>
      <c r="G19" s="251"/>
      <c r="H19" s="251"/>
      <c r="I19" s="251"/>
      <c r="J19" s="251"/>
    </row>
    <row r="20" spans="1:10" ht="12.75">
      <c r="A20" s="641"/>
      <c r="B20" s="632"/>
      <c r="C20" s="647"/>
      <c r="D20" s="627"/>
      <c r="E20" s="635"/>
      <c r="F20" s="644">
        <f t="shared" si="0"/>
        <v>0</v>
      </c>
      <c r="G20" s="251"/>
      <c r="H20" s="251"/>
      <c r="I20" s="251"/>
      <c r="J20" s="251"/>
    </row>
    <row r="21" spans="1:10" ht="13.5" thickBot="1">
      <c r="A21" s="654"/>
      <c r="B21" s="331"/>
      <c r="C21" s="680"/>
      <c r="D21" s="331"/>
      <c r="E21" s="681"/>
      <c r="F21" s="682">
        <f t="shared" si="0"/>
        <v>0</v>
      </c>
      <c r="G21" s="251"/>
      <c r="H21" s="251"/>
      <c r="I21" s="251"/>
      <c r="J21" s="251"/>
    </row>
    <row r="22" spans="1:10" ht="12.75">
      <c r="A22" s="1171" t="s">
        <v>37</v>
      </c>
      <c r="B22" s="1172"/>
      <c r="C22" s="1172"/>
      <c r="D22" s="1172"/>
      <c r="E22" s="1172"/>
      <c r="F22" s="693">
        <f>SUM(F11:F21)</f>
        <v>749.03731</v>
      </c>
      <c r="G22" s="251"/>
      <c r="H22" s="251"/>
      <c r="I22" s="251"/>
      <c r="J22" s="251"/>
    </row>
    <row r="23" spans="1:10" ht="12.75">
      <c r="A23" s="1165"/>
      <c r="B23" s="1166"/>
      <c r="C23" s="1166"/>
      <c r="D23" s="1166"/>
      <c r="E23" s="1166"/>
      <c r="F23" s="1167"/>
      <c r="G23" s="251"/>
      <c r="H23" s="251"/>
      <c r="I23" s="251"/>
      <c r="J23" s="251"/>
    </row>
    <row r="24" spans="1:10" ht="12.75">
      <c r="A24" s="646" t="s">
        <v>0</v>
      </c>
      <c r="B24" s="322" t="s">
        <v>18</v>
      </c>
      <c r="C24" s="322" t="s">
        <v>31</v>
      </c>
      <c r="D24" s="322" t="s">
        <v>32</v>
      </c>
      <c r="E24" s="322" t="s">
        <v>33</v>
      </c>
      <c r="F24" s="653" t="s">
        <v>34</v>
      </c>
      <c r="G24" s="251"/>
      <c r="H24" s="251"/>
      <c r="I24" s="251"/>
      <c r="J24" s="251"/>
    </row>
    <row r="25" spans="1:10" ht="12.75">
      <c r="A25" s="694"/>
      <c r="B25" s="372" t="s">
        <v>38</v>
      </c>
      <c r="C25" s="361">
        <v>1.1</v>
      </c>
      <c r="D25" s="373" t="s">
        <v>212</v>
      </c>
      <c r="E25" s="361">
        <v>0.78</v>
      </c>
      <c r="F25" s="695">
        <f>C25*E25</f>
        <v>0.8580000000000001</v>
      </c>
      <c r="G25" s="251" t="s">
        <v>226</v>
      </c>
      <c r="H25" s="251"/>
      <c r="I25" s="251"/>
      <c r="J25" s="251"/>
    </row>
    <row r="26" spans="1:10" ht="12.75">
      <c r="A26" s="696"/>
      <c r="B26" s="375"/>
      <c r="C26" s="376"/>
      <c r="D26" s="362"/>
      <c r="E26" s="376"/>
      <c r="F26" s="697">
        <f>C26*E26</f>
        <v>0</v>
      </c>
      <c r="G26" s="251"/>
      <c r="H26" s="251"/>
      <c r="I26" s="251"/>
      <c r="J26" s="251"/>
    </row>
    <row r="27" spans="1:10" ht="12.75">
      <c r="A27" s="342"/>
      <c r="B27" s="317"/>
      <c r="C27" s="377"/>
      <c r="D27" s="317"/>
      <c r="E27" s="377"/>
      <c r="F27" s="698">
        <f>C27*E27</f>
        <v>0</v>
      </c>
      <c r="G27" s="251"/>
      <c r="H27" s="251"/>
      <c r="I27" s="251"/>
      <c r="J27" s="251"/>
    </row>
    <row r="28" spans="1:10" ht="12.75">
      <c r="A28" s="342"/>
      <c r="B28" s="317"/>
      <c r="C28" s="377"/>
      <c r="D28" s="317"/>
      <c r="E28" s="377"/>
      <c r="F28" s="698">
        <f>C28*E28</f>
        <v>0</v>
      </c>
      <c r="G28" s="251"/>
      <c r="H28" s="251"/>
      <c r="I28" s="251"/>
      <c r="J28" s="251"/>
    </row>
    <row r="29" spans="1:10" ht="12.75">
      <c r="A29" s="699"/>
      <c r="B29" s="367"/>
      <c r="C29" s="368"/>
      <c r="D29" s="367"/>
      <c r="E29" s="368"/>
      <c r="F29" s="700">
        <f>C29*E29</f>
        <v>0</v>
      </c>
      <c r="G29" s="251"/>
      <c r="H29" s="251"/>
      <c r="I29" s="251"/>
      <c r="J29" s="251"/>
    </row>
    <row r="30" spans="1:10" ht="12.75">
      <c r="A30" s="1165" t="s">
        <v>39</v>
      </c>
      <c r="B30" s="1166"/>
      <c r="C30" s="1166"/>
      <c r="D30" s="1166"/>
      <c r="E30" s="1166"/>
      <c r="F30" s="644">
        <f>SUM(F25:F29)</f>
        <v>0.8580000000000001</v>
      </c>
      <c r="G30" s="251"/>
      <c r="H30" s="251"/>
      <c r="I30" s="251"/>
      <c r="J30" s="251"/>
    </row>
    <row r="31" spans="1:10" ht="12.75">
      <c r="A31" s="1165"/>
      <c r="B31" s="1166"/>
      <c r="C31" s="1166"/>
      <c r="D31" s="1166"/>
      <c r="E31" s="1166"/>
      <c r="F31" s="1167"/>
      <c r="G31" s="251"/>
      <c r="H31" s="251"/>
      <c r="I31" s="251"/>
      <c r="J31" s="251"/>
    </row>
    <row r="32" spans="1:10" ht="13.5" thickBot="1">
      <c r="A32" s="690" t="s">
        <v>0</v>
      </c>
      <c r="B32" s="655" t="s">
        <v>40</v>
      </c>
      <c r="C32" s="655" t="s">
        <v>31</v>
      </c>
      <c r="D32" s="655" t="s">
        <v>32</v>
      </c>
      <c r="E32" s="655" t="s">
        <v>33</v>
      </c>
      <c r="F32" s="691" t="s">
        <v>34</v>
      </c>
      <c r="G32" s="251"/>
      <c r="H32" s="251"/>
      <c r="I32" s="251"/>
      <c r="J32" s="251"/>
    </row>
    <row r="33" spans="1:10" ht="12.75">
      <c r="A33" s="661">
        <v>6127</v>
      </c>
      <c r="B33" s="662" t="s">
        <v>41</v>
      </c>
      <c r="C33" s="663">
        <v>8.7</v>
      </c>
      <c r="D33" s="629" t="s">
        <v>212</v>
      </c>
      <c r="E33" s="664">
        <v>9.56</v>
      </c>
      <c r="F33" s="665">
        <f>C33*E33</f>
        <v>83.172</v>
      </c>
      <c r="G33" s="251"/>
      <c r="H33" s="251" t="s">
        <v>227</v>
      </c>
      <c r="I33" s="251" t="s">
        <v>431</v>
      </c>
      <c r="J33" s="251"/>
    </row>
    <row r="34" spans="1:10" ht="12.75">
      <c r="A34" s="666">
        <v>4750</v>
      </c>
      <c r="B34" s="657" t="s">
        <v>42</v>
      </c>
      <c r="C34" s="659">
        <v>7.3</v>
      </c>
      <c r="D34" s="634" t="s">
        <v>212</v>
      </c>
      <c r="E34" s="658">
        <v>11.79</v>
      </c>
      <c r="F34" s="636">
        <f>C34*E34</f>
        <v>86.067</v>
      </c>
      <c r="G34" s="251"/>
      <c r="H34" s="251" t="s">
        <v>228</v>
      </c>
      <c r="I34" s="251" t="s">
        <v>432</v>
      </c>
      <c r="J34" s="251"/>
    </row>
    <row r="35" spans="1:10" ht="12.75">
      <c r="A35" s="646"/>
      <c r="B35" s="660"/>
      <c r="C35" s="370"/>
      <c r="D35" s="322"/>
      <c r="E35" s="370"/>
      <c r="F35" s="636">
        <f>C35*E35</f>
        <v>0</v>
      </c>
      <c r="G35" s="251"/>
      <c r="H35" s="251"/>
      <c r="I35" s="251"/>
      <c r="J35" s="251"/>
    </row>
    <row r="36" spans="1:10" ht="12.75">
      <c r="A36" s="646"/>
      <c r="B36" s="660"/>
      <c r="C36" s="370"/>
      <c r="D36" s="322"/>
      <c r="E36" s="370"/>
      <c r="F36" s="636">
        <f>C36*E36</f>
        <v>0</v>
      </c>
      <c r="G36" s="251"/>
      <c r="H36" s="251"/>
      <c r="I36" s="251"/>
      <c r="J36" s="251"/>
    </row>
    <row r="37" spans="1:10" ht="13.5" thickBot="1">
      <c r="A37" s="667"/>
      <c r="B37" s="668"/>
      <c r="C37" s="669"/>
      <c r="D37" s="670"/>
      <c r="E37" s="669"/>
      <c r="F37" s="671">
        <f>C37*E37</f>
        <v>0</v>
      </c>
      <c r="G37" s="251"/>
      <c r="H37" s="251"/>
      <c r="I37" s="251"/>
      <c r="J37" s="251"/>
    </row>
    <row r="38" spans="1:10" ht="12.75">
      <c r="A38" s="1171" t="s">
        <v>43</v>
      </c>
      <c r="B38" s="1172"/>
      <c r="C38" s="1172"/>
      <c r="D38" s="1172"/>
      <c r="E38" s="1172"/>
      <c r="F38" s="693">
        <f>SUM(F33:F37)</f>
        <v>169.23899999999998</v>
      </c>
      <c r="G38" s="251"/>
      <c r="H38" s="251"/>
      <c r="I38" s="251"/>
      <c r="J38" s="251"/>
    </row>
    <row r="39" spans="1:10" ht="12.75">
      <c r="A39" s="1165"/>
      <c r="B39" s="1166"/>
      <c r="C39" s="1166"/>
      <c r="D39" s="1166"/>
      <c r="E39" s="1166"/>
      <c r="F39" s="1167"/>
      <c r="G39" s="251"/>
      <c r="H39" s="251"/>
      <c r="I39" s="251"/>
      <c r="J39" s="251"/>
    </row>
    <row r="40" spans="1:10" ht="12.75">
      <c r="A40" s="1165" t="s">
        <v>44</v>
      </c>
      <c r="B40" s="1166"/>
      <c r="C40" s="1166"/>
      <c r="D40" s="1166"/>
      <c r="E40" s="1166"/>
      <c r="F40" s="644">
        <f>F38</f>
        <v>169.23899999999998</v>
      </c>
      <c r="G40" s="251"/>
      <c r="H40" s="251"/>
      <c r="I40" s="251"/>
      <c r="J40" s="251"/>
    </row>
    <row r="41" spans="1:10" ht="12.75">
      <c r="A41" s="1165"/>
      <c r="B41" s="1166"/>
      <c r="C41" s="1166"/>
      <c r="D41" s="1166"/>
      <c r="E41" s="1166"/>
      <c r="F41" s="1167"/>
      <c r="G41" s="251"/>
      <c r="H41" s="251"/>
      <c r="I41" s="251"/>
      <c r="J41" s="251"/>
    </row>
    <row r="42" spans="1:10" ht="12.75">
      <c r="A42" s="1165"/>
      <c r="B42" s="1166"/>
      <c r="C42" s="1166"/>
      <c r="D42" s="1166"/>
      <c r="E42" s="1166"/>
      <c r="F42" s="1167"/>
      <c r="G42" s="251"/>
      <c r="H42" s="251"/>
      <c r="I42" s="251"/>
      <c r="J42" s="251"/>
    </row>
    <row r="43" spans="1:10" ht="12.75">
      <c r="A43" s="1165" t="s">
        <v>45</v>
      </c>
      <c r="B43" s="1166"/>
      <c r="C43" s="1166"/>
      <c r="D43" s="1166"/>
      <c r="E43" s="1166"/>
      <c r="F43" s="644">
        <f>F40+F30+F22</f>
        <v>919.13431</v>
      </c>
      <c r="G43" s="251"/>
      <c r="H43" s="251"/>
      <c r="I43" s="251"/>
      <c r="J43" s="251"/>
    </row>
    <row r="44" spans="1:10" ht="12.75">
      <c r="A44" s="1165"/>
      <c r="B44" s="1166"/>
      <c r="C44" s="1166"/>
      <c r="D44" s="1166"/>
      <c r="E44" s="1166"/>
      <c r="F44" s="1167"/>
      <c r="G44" s="251"/>
      <c r="H44" s="251"/>
      <c r="I44" s="251"/>
      <c r="J44" s="251"/>
    </row>
    <row r="45" spans="1:10" ht="12.75">
      <c r="A45" s="1165" t="s">
        <v>46</v>
      </c>
      <c r="B45" s="1166"/>
      <c r="C45" s="1166"/>
      <c r="D45" s="1166"/>
      <c r="E45" s="421">
        <f>'dados de entrada'!B10</f>
        <v>0.25</v>
      </c>
      <c r="F45" s="644">
        <f>F43*E45</f>
        <v>229.7835775</v>
      </c>
      <c r="G45" s="384" t="s">
        <v>229</v>
      </c>
      <c r="H45" s="251"/>
      <c r="I45" s="251"/>
      <c r="J45" s="251"/>
    </row>
    <row r="46" spans="1:10" ht="12.75">
      <c r="A46" s="1165"/>
      <c r="B46" s="1166"/>
      <c r="C46" s="1166"/>
      <c r="D46" s="1166"/>
      <c r="E46" s="1166"/>
      <c r="F46" s="1167"/>
      <c r="G46" s="251"/>
      <c r="H46" s="251"/>
      <c r="I46" s="251"/>
      <c r="J46" s="251"/>
    </row>
    <row r="47" spans="1:10" ht="12.75">
      <c r="A47" s="1165" t="s">
        <v>47</v>
      </c>
      <c r="B47" s="1166"/>
      <c r="C47" s="1166"/>
      <c r="D47" s="1166"/>
      <c r="E47" s="1166"/>
      <c r="F47" s="644">
        <f>F43+F45</f>
        <v>1148.9178875</v>
      </c>
      <c r="G47" s="251"/>
      <c r="H47" s="251"/>
      <c r="I47" s="251"/>
      <c r="J47" s="251"/>
    </row>
    <row r="48" spans="1:6" ht="13.5" thickBot="1">
      <c r="A48" s="1168"/>
      <c r="B48" s="1169"/>
      <c r="C48" s="1169"/>
      <c r="D48" s="1169"/>
      <c r="E48" s="1169"/>
      <c r="F48" s="1170"/>
    </row>
  </sheetData>
  <sheetProtection/>
  <mergeCells count="24">
    <mergeCell ref="A5:F5"/>
    <mergeCell ref="A6:F6"/>
    <mergeCell ref="A7:C7"/>
    <mergeCell ref="D7:E7"/>
    <mergeCell ref="A8:C8"/>
    <mergeCell ref="D8:E8"/>
    <mergeCell ref="A9:F9"/>
    <mergeCell ref="H9:I9"/>
    <mergeCell ref="H10:I10"/>
    <mergeCell ref="H16:I16"/>
    <mergeCell ref="A22:E22"/>
    <mergeCell ref="A23:F23"/>
    <mergeCell ref="A30:E30"/>
    <mergeCell ref="A31:F31"/>
    <mergeCell ref="A38:E38"/>
    <mergeCell ref="A39:F39"/>
    <mergeCell ref="A40:E40"/>
    <mergeCell ref="A41:F42"/>
    <mergeCell ref="A43:E43"/>
    <mergeCell ref="A44:F44"/>
    <mergeCell ref="A45:D45"/>
    <mergeCell ref="A46:F46"/>
    <mergeCell ref="A47:E47"/>
    <mergeCell ref="A48:F4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7">
      <selection activeCell="A33" sqref="A33:E34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334"/>
      <c r="B1" s="683" t="s">
        <v>21</v>
      </c>
      <c r="C1" s="683"/>
      <c r="D1" s="683"/>
      <c r="E1" s="683" t="s">
        <v>22</v>
      </c>
      <c r="F1" s="684" t="str">
        <f>'dados de entrada'!B9</f>
        <v>SINAPI - 01/01/2014 - COM DESONERAÇÃO - SICRO 01/11/2013</v>
      </c>
      <c r="G1" s="251"/>
      <c r="H1" s="357" t="s">
        <v>230</v>
      </c>
      <c r="I1" s="251"/>
      <c r="J1" s="251"/>
    </row>
    <row r="2" spans="1:10" ht="12.75">
      <c r="A2" s="685" t="str">
        <f>'dados de entrada'!B15</f>
        <v>PREFEITURA MUNICIPAL DE BOMBINHAS</v>
      </c>
      <c r="B2" s="686"/>
      <c r="C2" s="252"/>
      <c r="D2" s="252"/>
      <c r="E2" s="252" t="s">
        <v>23</v>
      </c>
      <c r="F2" s="687" t="s">
        <v>24</v>
      </c>
      <c r="G2" s="251"/>
      <c r="H2" s="251"/>
      <c r="I2" s="251"/>
      <c r="J2" s="251"/>
    </row>
    <row r="3" spans="1:10" ht="12.75">
      <c r="A3" s="685" t="str">
        <f>'dados de entrada'!C19</f>
        <v>RUA CANGURU - BAIRRO JOSÉ AMANDIO</v>
      </c>
      <c r="B3" s="686"/>
      <c r="C3" s="252"/>
      <c r="D3" s="252"/>
      <c r="E3" s="252" t="s">
        <v>25</v>
      </c>
      <c r="F3" s="341" t="s">
        <v>26</v>
      </c>
      <c r="G3" s="251"/>
      <c r="H3" s="251"/>
      <c r="I3" s="251"/>
      <c r="J3" s="251"/>
    </row>
    <row r="4" spans="1:10" ht="12.75">
      <c r="A4" s="685" t="str">
        <f>'dados de entrada'!B8</f>
        <v>PAVIMENTAÇÃO COM LAJOTAS SEXTAVADAS E DRENAGEM PLUVIAL </v>
      </c>
      <c r="B4" s="686"/>
      <c r="C4" s="252"/>
      <c r="D4" s="252"/>
      <c r="E4" s="252"/>
      <c r="F4" s="688"/>
      <c r="G4" s="251"/>
      <c r="H4" s="251"/>
      <c r="I4" s="251"/>
      <c r="J4" s="251"/>
    </row>
    <row r="5" spans="1:10" ht="13.5" thickBot="1">
      <c r="A5" s="1175" t="s">
        <v>27</v>
      </c>
      <c r="B5" s="1176"/>
      <c r="C5" s="1176"/>
      <c r="D5" s="1176"/>
      <c r="E5" s="1176"/>
      <c r="F5" s="1177"/>
      <c r="G5" s="251"/>
      <c r="H5" s="251"/>
      <c r="I5" s="251"/>
      <c r="J5" s="251"/>
    </row>
    <row r="6" spans="1:10" ht="13.5" thickBot="1">
      <c r="A6" s="1165"/>
      <c r="B6" s="1166"/>
      <c r="C6" s="1166"/>
      <c r="D6" s="1166"/>
      <c r="E6" s="1166"/>
      <c r="F6" s="1167"/>
      <c r="G6" s="251"/>
      <c r="H6" s="251"/>
      <c r="I6" s="251"/>
      <c r="J6" s="420">
        <f>Escavação!W22</f>
        <v>1.28</v>
      </c>
    </row>
    <row r="7" spans="1:10" ht="12.75">
      <c r="A7" s="1165" t="s">
        <v>28</v>
      </c>
      <c r="B7" s="1166"/>
      <c r="C7" s="1166"/>
      <c r="D7" s="1166" t="s">
        <v>29</v>
      </c>
      <c r="E7" s="1166"/>
      <c r="F7" s="653" t="s">
        <v>13</v>
      </c>
      <c r="G7" s="251"/>
      <c r="H7" s="251"/>
      <c r="I7" s="251"/>
      <c r="J7" s="251"/>
    </row>
    <row r="8" spans="1:10" ht="13.5" thickBot="1">
      <c r="A8" s="1178" t="s">
        <v>459</v>
      </c>
      <c r="B8" s="1179"/>
      <c r="C8" s="1179"/>
      <c r="D8" s="1166" t="s">
        <v>4</v>
      </c>
      <c r="E8" s="1166"/>
      <c r="F8" s="689">
        <f>'dados de entrada'!B3</f>
        <v>41671</v>
      </c>
      <c r="G8" s="251"/>
      <c r="H8" s="251"/>
      <c r="I8" s="251"/>
      <c r="J8" s="251"/>
    </row>
    <row r="9" spans="1:11" ht="13.5" thickBot="1">
      <c r="A9" s="1165"/>
      <c r="B9" s="1166"/>
      <c r="C9" s="1166"/>
      <c r="D9" s="1166"/>
      <c r="E9" s="1166"/>
      <c r="F9" s="1167"/>
      <c r="G9" s="251"/>
      <c r="H9" s="1173" t="s">
        <v>460</v>
      </c>
      <c r="I9" s="1174"/>
      <c r="J9" s="249">
        <v>0.9</v>
      </c>
      <c r="K9" s="248" t="s">
        <v>426</v>
      </c>
    </row>
    <row r="10" spans="1:11" ht="13.5" thickBot="1">
      <c r="A10" s="690" t="s">
        <v>0</v>
      </c>
      <c r="B10" s="655" t="s">
        <v>30</v>
      </c>
      <c r="C10" s="655" t="s">
        <v>31</v>
      </c>
      <c r="D10" s="655" t="s">
        <v>32</v>
      </c>
      <c r="E10" s="655" t="s">
        <v>33</v>
      </c>
      <c r="F10" s="691" t="s">
        <v>34</v>
      </c>
      <c r="G10" s="251"/>
      <c r="H10" s="1173" t="s">
        <v>221</v>
      </c>
      <c r="I10" s="1174"/>
      <c r="J10" s="249">
        <f>((J9-0.2)*4*O13)-P14</f>
        <v>365.2</v>
      </c>
      <c r="K10" s="248" t="s">
        <v>427</v>
      </c>
    </row>
    <row r="11" spans="1:10" ht="12.75">
      <c r="A11" s="673">
        <v>73599</v>
      </c>
      <c r="B11" s="674" t="s">
        <v>425</v>
      </c>
      <c r="C11" s="675">
        <f>ROUNDUP(1.7*1.7*J6,1)</f>
        <v>3.7</v>
      </c>
      <c r="D11" s="676" t="s">
        <v>9</v>
      </c>
      <c r="E11" s="677">
        <v>7.67</v>
      </c>
      <c r="F11" s="678">
        <f aca="true" t="shared" si="0" ref="F11:F21">C11*E11</f>
        <v>28.379</v>
      </c>
      <c r="G11" s="251"/>
      <c r="H11" s="251"/>
      <c r="I11" s="251"/>
      <c r="J11" s="251"/>
    </row>
    <row r="12" spans="1:15" ht="12.75" customHeight="1">
      <c r="A12" s="637" t="s">
        <v>197</v>
      </c>
      <c r="B12" s="638" t="s">
        <v>428</v>
      </c>
      <c r="C12" s="633">
        <f>1.7*1.7*0.1</f>
        <v>0.289</v>
      </c>
      <c r="D12" s="634" t="s">
        <v>9</v>
      </c>
      <c r="E12" s="635">
        <v>97.19</v>
      </c>
      <c r="F12" s="636">
        <f t="shared" si="0"/>
        <v>28.087909999999997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25.5">
      <c r="A13" s="631" t="s">
        <v>35</v>
      </c>
      <c r="B13" s="638" t="s">
        <v>429</v>
      </c>
      <c r="C13" s="633">
        <f>1.7*1.7*0.1</f>
        <v>0.289</v>
      </c>
      <c r="D13" s="634" t="s">
        <v>9</v>
      </c>
      <c r="E13" s="635">
        <v>353.6</v>
      </c>
      <c r="F13" s="636">
        <f t="shared" si="0"/>
        <v>102.1904</v>
      </c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631">
        <v>34</v>
      </c>
      <c r="B14" s="638" t="s">
        <v>219</v>
      </c>
      <c r="C14" s="640">
        <v>37</v>
      </c>
      <c r="D14" s="634" t="s">
        <v>36</v>
      </c>
      <c r="E14" s="635">
        <v>3.66</v>
      </c>
      <c r="F14" s="636">
        <f t="shared" si="0"/>
        <v>135.42000000000002</v>
      </c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641">
        <v>7258</v>
      </c>
      <c r="B15" s="632" t="s">
        <v>224</v>
      </c>
      <c r="C15" s="642">
        <f>ROUNDUP(J10,0)</f>
        <v>366</v>
      </c>
      <c r="D15" s="322" t="s">
        <v>4</v>
      </c>
      <c r="E15" s="672">
        <v>0.45</v>
      </c>
      <c r="F15" s="644">
        <f t="shared" si="0"/>
        <v>164.70000000000002</v>
      </c>
      <c r="G15" s="251"/>
      <c r="H15" s="251"/>
      <c r="I15" s="251"/>
      <c r="J15" s="251"/>
    </row>
    <row r="16" spans="1:11" ht="12.75" customHeight="1" thickBot="1">
      <c r="A16" s="631">
        <v>371</v>
      </c>
      <c r="B16" s="638" t="s">
        <v>225</v>
      </c>
      <c r="C16" s="640">
        <f>ROUNDUP(J16,0)</f>
        <v>92</v>
      </c>
      <c r="D16" s="634" t="s">
        <v>36</v>
      </c>
      <c r="E16" s="635">
        <v>0.35</v>
      </c>
      <c r="F16" s="636">
        <f t="shared" si="0"/>
        <v>32.199999999999996</v>
      </c>
      <c r="G16" s="251"/>
      <c r="H16" s="1173" t="s">
        <v>146</v>
      </c>
      <c r="I16" s="1174"/>
      <c r="J16" s="249">
        <f>C15*0.25</f>
        <v>91.5</v>
      </c>
      <c r="K16" s="248" t="s">
        <v>222</v>
      </c>
    </row>
    <row r="17" spans="1:10" ht="25.5">
      <c r="A17" s="631" t="s">
        <v>35</v>
      </c>
      <c r="B17" s="645" t="s">
        <v>416</v>
      </c>
      <c r="C17" s="633">
        <f>1.2*1.2*0.15</f>
        <v>0.216</v>
      </c>
      <c r="D17" s="634" t="s">
        <v>9</v>
      </c>
      <c r="E17" s="635">
        <v>353.6</v>
      </c>
      <c r="F17" s="636">
        <f t="shared" si="0"/>
        <v>76.3776</v>
      </c>
      <c r="G17" s="251"/>
      <c r="H17" s="251"/>
      <c r="I17" s="251"/>
      <c r="J17" s="251"/>
    </row>
    <row r="18" spans="1:10" ht="12.75">
      <c r="A18" s="631">
        <v>34</v>
      </c>
      <c r="B18" s="638" t="s">
        <v>219</v>
      </c>
      <c r="C18" s="640">
        <v>19</v>
      </c>
      <c r="D18" s="634" t="s">
        <v>36</v>
      </c>
      <c r="E18" s="635">
        <v>3.66</v>
      </c>
      <c r="F18" s="636">
        <f>C18*E18</f>
        <v>69.54</v>
      </c>
      <c r="G18" s="251"/>
      <c r="H18" s="251"/>
      <c r="I18" s="251"/>
      <c r="J18" s="251"/>
    </row>
    <row r="19" spans="1:10" ht="12.75">
      <c r="A19" s="646"/>
      <c r="B19" s="632"/>
      <c r="C19" s="647"/>
      <c r="D19" s="627"/>
      <c r="E19" s="635"/>
      <c r="F19" s="636"/>
      <c r="G19" s="251"/>
      <c r="H19" s="251"/>
      <c r="I19" s="251"/>
      <c r="J19" s="251"/>
    </row>
    <row r="20" spans="1:10" ht="12.75">
      <c r="A20" s="641"/>
      <c r="B20" s="632"/>
      <c r="C20" s="647"/>
      <c r="D20" s="627"/>
      <c r="E20" s="635"/>
      <c r="F20" s="644">
        <f t="shared" si="0"/>
        <v>0</v>
      </c>
      <c r="G20" s="251"/>
      <c r="H20" s="251"/>
      <c r="I20" s="251"/>
      <c r="J20" s="251"/>
    </row>
    <row r="21" spans="1:10" ht="13.5" thickBot="1">
      <c r="A21" s="654"/>
      <c r="B21" s="331"/>
      <c r="C21" s="680"/>
      <c r="D21" s="331"/>
      <c r="E21" s="681"/>
      <c r="F21" s="682">
        <f t="shared" si="0"/>
        <v>0</v>
      </c>
      <c r="G21" s="251"/>
      <c r="H21" s="251"/>
      <c r="I21" s="251"/>
      <c r="J21" s="251"/>
    </row>
    <row r="22" spans="1:10" ht="12.75">
      <c r="A22" s="1171" t="s">
        <v>37</v>
      </c>
      <c r="B22" s="1172"/>
      <c r="C22" s="1172"/>
      <c r="D22" s="1172"/>
      <c r="E22" s="1172"/>
      <c r="F22" s="693">
        <f>SUM(F11:F21)</f>
        <v>636.89491</v>
      </c>
      <c r="G22" s="251"/>
      <c r="H22" s="251"/>
      <c r="I22" s="251"/>
      <c r="J22" s="251"/>
    </row>
    <row r="23" spans="1:10" ht="12.75">
      <c r="A23" s="1165"/>
      <c r="B23" s="1166"/>
      <c r="C23" s="1166"/>
      <c r="D23" s="1166"/>
      <c r="E23" s="1166"/>
      <c r="F23" s="1167"/>
      <c r="G23" s="251"/>
      <c r="H23" s="251"/>
      <c r="I23" s="251"/>
      <c r="J23" s="251"/>
    </row>
    <row r="24" spans="1:10" ht="12.75">
      <c r="A24" s="646" t="s">
        <v>0</v>
      </c>
      <c r="B24" s="322" t="s">
        <v>18</v>
      </c>
      <c r="C24" s="322" t="s">
        <v>31</v>
      </c>
      <c r="D24" s="322" t="s">
        <v>32</v>
      </c>
      <c r="E24" s="322" t="s">
        <v>33</v>
      </c>
      <c r="F24" s="653" t="s">
        <v>34</v>
      </c>
      <c r="G24" s="251"/>
      <c r="H24" s="251"/>
      <c r="I24" s="251"/>
      <c r="J24" s="251"/>
    </row>
    <row r="25" spans="1:10" ht="12.75">
      <c r="A25" s="694"/>
      <c r="B25" s="372" t="s">
        <v>38</v>
      </c>
      <c r="C25" s="361">
        <v>1.1</v>
      </c>
      <c r="D25" s="373" t="s">
        <v>212</v>
      </c>
      <c r="E25" s="361">
        <v>0.78</v>
      </c>
      <c r="F25" s="695">
        <f>C25*E25</f>
        <v>0.8580000000000001</v>
      </c>
      <c r="G25" s="251" t="s">
        <v>226</v>
      </c>
      <c r="H25" s="251"/>
      <c r="I25" s="251"/>
      <c r="J25" s="251"/>
    </row>
    <row r="26" spans="1:10" ht="12.75">
      <c r="A26" s="696"/>
      <c r="B26" s="375"/>
      <c r="C26" s="376"/>
      <c r="D26" s="362"/>
      <c r="E26" s="376"/>
      <c r="F26" s="697">
        <f>C26*E26</f>
        <v>0</v>
      </c>
      <c r="G26" s="251"/>
      <c r="H26" s="251"/>
      <c r="I26" s="251"/>
      <c r="J26" s="251"/>
    </row>
    <row r="27" spans="1:10" ht="12.75">
      <c r="A27" s="342"/>
      <c r="B27" s="317"/>
      <c r="C27" s="377"/>
      <c r="D27" s="317"/>
      <c r="E27" s="377"/>
      <c r="F27" s="698">
        <f>C27*E27</f>
        <v>0</v>
      </c>
      <c r="G27" s="251"/>
      <c r="H27" s="251"/>
      <c r="I27" s="251"/>
      <c r="J27" s="251"/>
    </row>
    <row r="28" spans="1:10" ht="12.75">
      <c r="A28" s="342"/>
      <c r="B28" s="317"/>
      <c r="C28" s="377"/>
      <c r="D28" s="317"/>
      <c r="E28" s="377"/>
      <c r="F28" s="698">
        <f>C28*E28</f>
        <v>0</v>
      </c>
      <c r="G28" s="251"/>
      <c r="H28" s="251"/>
      <c r="I28" s="251"/>
      <c r="J28" s="251"/>
    </row>
    <row r="29" spans="1:10" ht="12.75">
      <c r="A29" s="699"/>
      <c r="B29" s="367"/>
      <c r="C29" s="368"/>
      <c r="D29" s="367"/>
      <c r="E29" s="368"/>
      <c r="F29" s="700">
        <f>C29*E29</f>
        <v>0</v>
      </c>
      <c r="G29" s="251"/>
      <c r="H29" s="251"/>
      <c r="I29" s="251"/>
      <c r="J29" s="251"/>
    </row>
    <row r="30" spans="1:10" ht="12.75">
      <c r="A30" s="1165" t="s">
        <v>39</v>
      </c>
      <c r="B30" s="1166"/>
      <c r="C30" s="1166"/>
      <c r="D30" s="1166"/>
      <c r="E30" s="1166"/>
      <c r="F30" s="644">
        <f>SUM(F25:F29)</f>
        <v>0.8580000000000001</v>
      </c>
      <c r="G30" s="251"/>
      <c r="H30" s="251"/>
      <c r="I30" s="251"/>
      <c r="J30" s="251"/>
    </row>
    <row r="31" spans="1:10" ht="12.75">
      <c r="A31" s="1165"/>
      <c r="B31" s="1166"/>
      <c r="C31" s="1166"/>
      <c r="D31" s="1166"/>
      <c r="E31" s="1166"/>
      <c r="F31" s="1167"/>
      <c r="G31" s="251"/>
      <c r="H31" s="251"/>
      <c r="I31" s="251"/>
      <c r="J31" s="251"/>
    </row>
    <row r="32" spans="1:10" ht="13.5" thickBot="1">
      <c r="A32" s="690" t="s">
        <v>0</v>
      </c>
      <c r="B32" s="655" t="s">
        <v>40</v>
      </c>
      <c r="C32" s="655" t="s">
        <v>31</v>
      </c>
      <c r="D32" s="655" t="s">
        <v>32</v>
      </c>
      <c r="E32" s="655" t="s">
        <v>33</v>
      </c>
      <c r="F32" s="691" t="s">
        <v>34</v>
      </c>
      <c r="G32" s="251"/>
      <c r="H32" s="251"/>
      <c r="I32" s="251"/>
      <c r="J32" s="251"/>
    </row>
    <row r="33" spans="1:10" ht="12.75">
      <c r="A33" s="661">
        <v>6127</v>
      </c>
      <c r="B33" s="662" t="s">
        <v>41</v>
      </c>
      <c r="C33" s="663">
        <v>5</v>
      </c>
      <c r="D33" s="629" t="s">
        <v>212</v>
      </c>
      <c r="E33" s="664">
        <v>9.56</v>
      </c>
      <c r="F33" s="665">
        <f>C33*E33</f>
        <v>47.800000000000004</v>
      </c>
      <c r="G33" s="251"/>
      <c r="H33" s="251" t="s">
        <v>227</v>
      </c>
      <c r="I33" s="251" t="s">
        <v>431</v>
      </c>
      <c r="J33" s="251"/>
    </row>
    <row r="34" spans="1:10" ht="12.75">
      <c r="A34" s="666">
        <v>4750</v>
      </c>
      <c r="B34" s="657" t="s">
        <v>42</v>
      </c>
      <c r="C34" s="659">
        <v>4</v>
      </c>
      <c r="D34" s="634" t="s">
        <v>212</v>
      </c>
      <c r="E34" s="658">
        <v>11.79</v>
      </c>
      <c r="F34" s="636">
        <f>C34*E34</f>
        <v>47.16</v>
      </c>
      <c r="G34" s="251"/>
      <c r="H34" s="251" t="s">
        <v>228</v>
      </c>
      <c r="I34" s="251" t="s">
        <v>432</v>
      </c>
      <c r="J34" s="251"/>
    </row>
    <row r="35" spans="1:10" ht="12.75">
      <c r="A35" s="646"/>
      <c r="B35" s="660"/>
      <c r="C35" s="370"/>
      <c r="D35" s="322"/>
      <c r="E35" s="370"/>
      <c r="F35" s="636">
        <f>C35*E35</f>
        <v>0</v>
      </c>
      <c r="G35" s="251"/>
      <c r="H35" s="251"/>
      <c r="I35" s="251"/>
      <c r="J35" s="251"/>
    </row>
    <row r="36" spans="1:10" ht="12.75">
      <c r="A36" s="646"/>
      <c r="B36" s="660"/>
      <c r="C36" s="370"/>
      <c r="D36" s="322"/>
      <c r="E36" s="370"/>
      <c r="F36" s="636">
        <f>C36*E36</f>
        <v>0</v>
      </c>
      <c r="G36" s="251"/>
      <c r="H36" s="251"/>
      <c r="I36" s="251"/>
      <c r="J36" s="251"/>
    </row>
    <row r="37" spans="1:10" ht="13.5" thickBot="1">
      <c r="A37" s="667"/>
      <c r="B37" s="668"/>
      <c r="C37" s="669"/>
      <c r="D37" s="670"/>
      <c r="E37" s="669"/>
      <c r="F37" s="671">
        <f>C37*E37</f>
        <v>0</v>
      </c>
      <c r="G37" s="251"/>
      <c r="H37" s="251"/>
      <c r="I37" s="251"/>
      <c r="J37" s="251"/>
    </row>
    <row r="38" spans="1:10" ht="12.75">
      <c r="A38" s="1171" t="s">
        <v>43</v>
      </c>
      <c r="B38" s="1172"/>
      <c r="C38" s="1172"/>
      <c r="D38" s="1172"/>
      <c r="E38" s="1172"/>
      <c r="F38" s="693">
        <f>SUM(F33:F37)</f>
        <v>94.96000000000001</v>
      </c>
      <c r="G38" s="251"/>
      <c r="H38" s="251"/>
      <c r="I38" s="251"/>
      <c r="J38" s="251"/>
    </row>
    <row r="39" spans="1:10" ht="12.75">
      <c r="A39" s="1165"/>
      <c r="B39" s="1166"/>
      <c r="C39" s="1166"/>
      <c r="D39" s="1166"/>
      <c r="E39" s="1166"/>
      <c r="F39" s="1167"/>
      <c r="G39" s="251"/>
      <c r="H39" s="251"/>
      <c r="I39" s="251"/>
      <c r="J39" s="251"/>
    </row>
    <row r="40" spans="1:10" ht="12.75">
      <c r="A40" s="1165" t="s">
        <v>44</v>
      </c>
      <c r="B40" s="1166"/>
      <c r="C40" s="1166"/>
      <c r="D40" s="1166"/>
      <c r="E40" s="1166"/>
      <c r="F40" s="644">
        <f>F38</f>
        <v>94.96000000000001</v>
      </c>
      <c r="G40" s="251"/>
      <c r="H40" s="251"/>
      <c r="I40" s="251"/>
      <c r="J40" s="251"/>
    </row>
    <row r="41" spans="1:10" ht="12.75">
      <c r="A41" s="1165"/>
      <c r="B41" s="1166"/>
      <c r="C41" s="1166"/>
      <c r="D41" s="1166"/>
      <c r="E41" s="1166"/>
      <c r="F41" s="1167"/>
      <c r="G41" s="251"/>
      <c r="H41" s="251"/>
      <c r="I41" s="251"/>
      <c r="J41" s="251"/>
    </row>
    <row r="42" spans="1:10" ht="12.75">
      <c r="A42" s="1165"/>
      <c r="B42" s="1166"/>
      <c r="C42" s="1166"/>
      <c r="D42" s="1166"/>
      <c r="E42" s="1166"/>
      <c r="F42" s="1167"/>
      <c r="G42" s="251"/>
      <c r="H42" s="251"/>
      <c r="I42" s="251"/>
      <c r="J42" s="251"/>
    </row>
    <row r="43" spans="1:10" ht="12.75">
      <c r="A43" s="1165" t="s">
        <v>45</v>
      </c>
      <c r="B43" s="1166"/>
      <c r="C43" s="1166"/>
      <c r="D43" s="1166"/>
      <c r="E43" s="1166"/>
      <c r="F43" s="644">
        <f>F40+F30+F22</f>
        <v>732.71291</v>
      </c>
      <c r="G43" s="251"/>
      <c r="H43" s="251"/>
      <c r="I43" s="251"/>
      <c r="J43" s="251"/>
    </row>
    <row r="44" spans="1:10" ht="12.75">
      <c r="A44" s="1165"/>
      <c r="B44" s="1166"/>
      <c r="C44" s="1166"/>
      <c r="D44" s="1166"/>
      <c r="E44" s="1166"/>
      <c r="F44" s="1167"/>
      <c r="G44" s="251"/>
      <c r="H44" s="251"/>
      <c r="I44" s="251"/>
      <c r="J44" s="251"/>
    </row>
    <row r="45" spans="1:10" ht="12.75">
      <c r="A45" s="1165" t="s">
        <v>46</v>
      </c>
      <c r="B45" s="1166"/>
      <c r="C45" s="1166"/>
      <c r="D45" s="1166"/>
      <c r="E45" s="421">
        <f>'dados de entrada'!B10</f>
        <v>0.25</v>
      </c>
      <c r="F45" s="644">
        <f>F43*E45</f>
        <v>183.1782275</v>
      </c>
      <c r="G45" s="384" t="s">
        <v>229</v>
      </c>
      <c r="H45" s="251"/>
      <c r="I45" s="251"/>
      <c r="J45" s="251"/>
    </row>
    <row r="46" spans="1:10" ht="12.75">
      <c r="A46" s="1165"/>
      <c r="B46" s="1166"/>
      <c r="C46" s="1166"/>
      <c r="D46" s="1166"/>
      <c r="E46" s="1166"/>
      <c r="F46" s="1167"/>
      <c r="G46" s="251"/>
      <c r="H46" s="251"/>
      <c r="I46" s="251"/>
      <c r="J46" s="251"/>
    </row>
    <row r="47" spans="1:10" ht="12.75">
      <c r="A47" s="1165" t="s">
        <v>47</v>
      </c>
      <c r="B47" s="1166"/>
      <c r="C47" s="1166"/>
      <c r="D47" s="1166"/>
      <c r="E47" s="1166"/>
      <c r="F47" s="644">
        <f>F43+F45</f>
        <v>915.8911375</v>
      </c>
      <c r="G47" s="251"/>
      <c r="H47" s="251"/>
      <c r="I47" s="251"/>
      <c r="J47" s="251"/>
    </row>
    <row r="48" spans="1:6" ht="13.5" thickBot="1">
      <c r="A48" s="1168"/>
      <c r="B48" s="1169"/>
      <c r="C48" s="1169"/>
      <c r="D48" s="1169"/>
      <c r="E48" s="1169"/>
      <c r="F48" s="1170"/>
    </row>
  </sheetData>
  <sheetProtection/>
  <mergeCells count="24">
    <mergeCell ref="A5:F5"/>
    <mergeCell ref="A6:F6"/>
    <mergeCell ref="A7:C7"/>
    <mergeCell ref="D7:E7"/>
    <mergeCell ref="A8:C8"/>
    <mergeCell ref="D8:E8"/>
    <mergeCell ref="A9:F9"/>
    <mergeCell ref="H9:I9"/>
    <mergeCell ref="H10:I10"/>
    <mergeCell ref="H16:I16"/>
    <mergeCell ref="A22:E22"/>
    <mergeCell ref="A23:F23"/>
    <mergeCell ref="A30:E30"/>
    <mergeCell ref="A31:F31"/>
    <mergeCell ref="A38:E38"/>
    <mergeCell ref="A39:F39"/>
    <mergeCell ref="A40:E40"/>
    <mergeCell ref="A41:F42"/>
    <mergeCell ref="A43:E43"/>
    <mergeCell ref="A44:F44"/>
    <mergeCell ref="A45:D45"/>
    <mergeCell ref="A46:F46"/>
    <mergeCell ref="A47:E47"/>
    <mergeCell ref="A48:F4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="115" zoomScaleSheetLayoutView="115" zoomScalePageLayoutView="0" workbookViewId="0" topLeftCell="A1">
      <selection activeCell="A5" sqref="A5:F5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334"/>
      <c r="B1" s="683" t="s">
        <v>21</v>
      </c>
      <c r="C1" s="683" t="s">
        <v>22</v>
      </c>
      <c r="D1" s="1180" t="str">
        <f>'[1]dados de entrada'!B9</f>
        <v>SINAPI - 01/01/2014 - COM DESONERAÇÃO - SICR0  01/11/2013</v>
      </c>
      <c r="E1" s="1180"/>
      <c r="F1" s="1181"/>
      <c r="G1" s="251"/>
      <c r="H1" s="357"/>
      <c r="I1" s="251"/>
      <c r="J1" s="251"/>
    </row>
    <row r="2" spans="1:10" ht="12.75">
      <c r="A2" s="685" t="str">
        <f>'[1]dados de entrada'!B15</f>
        <v>PREFEITURA MUNICIPAL DE BOMBINHAS</v>
      </c>
      <c r="B2" s="686"/>
      <c r="C2" s="252"/>
      <c r="D2" s="252"/>
      <c r="E2" s="252" t="s">
        <v>23</v>
      </c>
      <c r="F2" s="687" t="s">
        <v>24</v>
      </c>
      <c r="G2" s="251"/>
      <c r="H2" s="251"/>
      <c r="I2" s="251"/>
      <c r="J2" s="251"/>
    </row>
    <row r="3" spans="1:10" ht="12.75">
      <c r="A3" s="685" t="str">
        <f>'dados de entrada'!C19</f>
        <v>RUA CANGURU - BAIRRO JOSÉ AMANDIO</v>
      </c>
      <c r="B3" s="686"/>
      <c r="C3" s="252"/>
      <c r="D3" s="252"/>
      <c r="E3" s="252" t="s">
        <v>25</v>
      </c>
      <c r="F3" s="341" t="s">
        <v>26</v>
      </c>
      <c r="G3" s="251"/>
      <c r="H3" s="251"/>
      <c r="I3" s="251"/>
      <c r="J3" s="251"/>
    </row>
    <row r="4" spans="1:19" ht="12.75">
      <c r="A4" s="685" t="str">
        <f>'dados de entrada'!B8</f>
        <v>PAVIMENTAÇÃO COM LAJOTAS SEXTAVADAS E DRENAGEM PLUVIAL </v>
      </c>
      <c r="B4" s="686"/>
      <c r="C4" s="252"/>
      <c r="D4" s="252"/>
      <c r="E4" s="252"/>
      <c r="F4" s="688"/>
      <c r="G4" s="252"/>
      <c r="H4" s="252"/>
      <c r="I4" s="252"/>
      <c r="J4" s="252"/>
      <c r="K4" s="701"/>
      <c r="L4" s="701"/>
      <c r="M4" s="701"/>
      <c r="N4" s="701"/>
      <c r="O4" s="701"/>
      <c r="P4" s="701"/>
      <c r="Q4" s="701"/>
      <c r="R4" s="701"/>
      <c r="S4" s="701"/>
    </row>
    <row r="5" spans="1:19" ht="12.75">
      <c r="A5" s="1175" t="s">
        <v>27</v>
      </c>
      <c r="B5" s="1176"/>
      <c r="C5" s="1176"/>
      <c r="D5" s="1176"/>
      <c r="E5" s="1176"/>
      <c r="F5" s="1177"/>
      <c r="G5" s="252"/>
      <c r="H5" s="252"/>
      <c r="I5" s="252"/>
      <c r="J5" s="252"/>
      <c r="K5" s="701"/>
      <c r="L5" s="701"/>
      <c r="M5" s="701"/>
      <c r="N5" s="701"/>
      <c r="O5" s="701"/>
      <c r="P5" s="701"/>
      <c r="Q5" s="701"/>
      <c r="R5" s="701"/>
      <c r="S5" s="701"/>
    </row>
    <row r="6" spans="1:19" ht="12.75">
      <c r="A6" s="1165"/>
      <c r="B6" s="1166"/>
      <c r="C6" s="1166"/>
      <c r="D6" s="1166"/>
      <c r="E6" s="1166"/>
      <c r="F6" s="1167"/>
      <c r="G6" s="252"/>
      <c r="H6" s="252"/>
      <c r="I6" s="252"/>
      <c r="J6" s="702"/>
      <c r="K6" s="701"/>
      <c r="L6" s="701"/>
      <c r="M6" s="701"/>
      <c r="N6" s="701"/>
      <c r="O6" s="701"/>
      <c r="P6" s="701"/>
      <c r="Q6" s="701"/>
      <c r="R6" s="701"/>
      <c r="S6" s="701"/>
    </row>
    <row r="7" spans="1:19" ht="12.75">
      <c r="A7" s="1165" t="s">
        <v>28</v>
      </c>
      <c r="B7" s="1166"/>
      <c r="C7" s="1166"/>
      <c r="D7" s="1166" t="s">
        <v>29</v>
      </c>
      <c r="E7" s="1166"/>
      <c r="F7" s="652" t="s">
        <v>13</v>
      </c>
      <c r="G7" s="252"/>
      <c r="H7" s="252"/>
      <c r="I7" s="252"/>
      <c r="J7" s="252"/>
      <c r="K7" s="701"/>
      <c r="L7" s="701"/>
      <c r="M7" s="701"/>
      <c r="N7" s="701"/>
      <c r="O7" s="701"/>
      <c r="P7" s="701"/>
      <c r="Q7" s="701"/>
      <c r="R7" s="701"/>
      <c r="S7" s="701"/>
    </row>
    <row r="8" spans="1:19" ht="12.75">
      <c r="A8" s="1178" t="s">
        <v>577</v>
      </c>
      <c r="B8" s="1179"/>
      <c r="C8" s="1179"/>
      <c r="D8" s="1166" t="s">
        <v>3</v>
      </c>
      <c r="E8" s="1166"/>
      <c r="F8" s="689">
        <f>'[1]dados de entrada'!B3</f>
        <v>41671</v>
      </c>
      <c r="G8" s="252"/>
      <c r="H8" s="252"/>
      <c r="I8" s="252"/>
      <c r="J8" s="252"/>
      <c r="K8" s="701"/>
      <c r="L8" s="701"/>
      <c r="M8" s="701"/>
      <c r="N8" s="701"/>
      <c r="O8" s="701"/>
      <c r="P8" s="701"/>
      <c r="Q8" s="701"/>
      <c r="R8" s="701"/>
      <c r="S8" s="701"/>
    </row>
    <row r="9" spans="1:19" ht="13.5" thickBot="1">
      <c r="A9" s="1182"/>
      <c r="B9" s="1183"/>
      <c r="C9" s="1183"/>
      <c r="D9" s="1183"/>
      <c r="E9" s="1183"/>
      <c r="F9" s="1184"/>
      <c r="G9" s="252"/>
      <c r="H9" s="1185"/>
      <c r="I9" s="1186"/>
      <c r="J9" s="703"/>
      <c r="K9" s="701"/>
      <c r="L9" s="701"/>
      <c r="M9" s="701"/>
      <c r="N9" s="701"/>
      <c r="O9" s="701"/>
      <c r="P9" s="701"/>
      <c r="Q9" s="701"/>
      <c r="R9" s="701"/>
      <c r="S9" s="701"/>
    </row>
    <row r="10" spans="1:19" ht="12.75">
      <c r="A10" s="628" t="s">
        <v>0</v>
      </c>
      <c r="B10" s="629" t="s">
        <v>30</v>
      </c>
      <c r="C10" s="629" t="s">
        <v>31</v>
      </c>
      <c r="D10" s="629" t="s">
        <v>32</v>
      </c>
      <c r="E10" s="629" t="s">
        <v>33</v>
      </c>
      <c r="F10" s="630" t="s">
        <v>34</v>
      </c>
      <c r="G10" s="252"/>
      <c r="H10" s="1185"/>
      <c r="I10" s="1186"/>
      <c r="J10" s="703"/>
      <c r="K10" s="701"/>
      <c r="L10" s="701"/>
      <c r="M10" s="701"/>
      <c r="N10" s="701"/>
      <c r="O10" s="701"/>
      <c r="P10" s="701"/>
      <c r="Q10" s="701"/>
      <c r="R10" s="701"/>
      <c r="S10" s="701"/>
    </row>
    <row r="11" spans="1:19" ht="12.75">
      <c r="A11" s="631">
        <v>367</v>
      </c>
      <c r="B11" s="632" t="s">
        <v>595</v>
      </c>
      <c r="C11" s="633">
        <v>0.0604</v>
      </c>
      <c r="D11" s="634" t="s">
        <v>9</v>
      </c>
      <c r="E11" s="635">
        <v>69.75</v>
      </c>
      <c r="F11" s="636">
        <f>C11*E11</f>
        <v>4.2129</v>
      </c>
      <c r="G11" s="252"/>
      <c r="H11" s="252"/>
      <c r="I11" s="252"/>
      <c r="J11" s="252"/>
      <c r="K11" s="701"/>
      <c r="L11" s="701"/>
      <c r="M11" s="701"/>
      <c r="N11" s="701"/>
      <c r="O11" s="701"/>
      <c r="P11" s="701"/>
      <c r="Q11" s="701"/>
      <c r="R11" s="701"/>
      <c r="S11" s="701"/>
    </row>
    <row r="12" spans="1:19" ht="12.75" customHeight="1">
      <c r="A12" s="631" t="s">
        <v>596</v>
      </c>
      <c r="B12" s="632" t="s">
        <v>457</v>
      </c>
      <c r="C12" s="640">
        <v>1.05</v>
      </c>
      <c r="D12" s="634" t="s">
        <v>3</v>
      </c>
      <c r="E12" s="635">
        <v>26</v>
      </c>
      <c r="F12" s="636">
        <f>C12*E12</f>
        <v>27.3</v>
      </c>
      <c r="G12" s="252"/>
      <c r="H12" s="252"/>
      <c r="I12" s="252"/>
      <c r="J12" s="252"/>
      <c r="K12" s="701"/>
      <c r="L12" s="701"/>
      <c r="M12" s="701"/>
      <c r="N12" s="701"/>
      <c r="O12" s="701"/>
      <c r="P12" s="701"/>
      <c r="Q12" s="701"/>
      <c r="R12" s="701"/>
      <c r="S12" s="701"/>
    </row>
    <row r="13" spans="1:19" ht="12.75" customHeight="1">
      <c r="A13" s="641"/>
      <c r="B13" s="632"/>
      <c r="C13" s="642"/>
      <c r="D13" s="322"/>
      <c r="E13" s="643"/>
      <c r="F13" s="644"/>
      <c r="G13" s="252"/>
      <c r="H13" s="252"/>
      <c r="I13" s="252"/>
      <c r="J13" s="252"/>
      <c r="K13" s="701"/>
      <c r="L13" s="701"/>
      <c r="M13" s="701"/>
      <c r="N13" s="701"/>
      <c r="O13" s="701"/>
      <c r="P13" s="701"/>
      <c r="Q13" s="701"/>
      <c r="R13" s="701"/>
      <c r="S13" s="701"/>
    </row>
    <row r="14" spans="1:19" ht="12.75" customHeight="1">
      <c r="A14" s="631"/>
      <c r="B14" s="638"/>
      <c r="C14" s="640"/>
      <c r="D14" s="634"/>
      <c r="E14" s="639"/>
      <c r="F14" s="636"/>
      <c r="G14" s="252"/>
      <c r="H14" s="1185"/>
      <c r="I14" s="1186"/>
      <c r="J14" s="703"/>
      <c r="K14" s="701"/>
      <c r="L14" s="701"/>
      <c r="M14" s="701"/>
      <c r="N14" s="701"/>
      <c r="O14" s="701"/>
      <c r="P14" s="701"/>
      <c r="Q14" s="701"/>
      <c r="R14" s="701"/>
      <c r="S14" s="701"/>
    </row>
    <row r="15" spans="1:19" ht="12.75">
      <c r="A15" s="631"/>
      <c r="B15" s="645"/>
      <c r="C15" s="633"/>
      <c r="D15" s="634"/>
      <c r="E15" s="639"/>
      <c r="F15" s="636"/>
      <c r="G15" s="252"/>
      <c r="H15" s="252"/>
      <c r="I15" s="252"/>
      <c r="J15" s="252"/>
      <c r="K15" s="701"/>
      <c r="L15" s="701"/>
      <c r="M15" s="701"/>
      <c r="N15" s="701"/>
      <c r="O15" s="701"/>
      <c r="P15" s="701"/>
      <c r="Q15" s="701"/>
      <c r="R15" s="701"/>
      <c r="S15" s="701"/>
    </row>
    <row r="16" spans="1:19" ht="12.75">
      <c r="A16" s="631"/>
      <c r="B16" s="638"/>
      <c r="C16" s="640"/>
      <c r="D16" s="634"/>
      <c r="E16" s="639"/>
      <c r="F16" s="636"/>
      <c r="G16" s="252"/>
      <c r="H16" s="252"/>
      <c r="I16" s="252"/>
      <c r="J16" s="252"/>
      <c r="K16" s="701"/>
      <c r="L16" s="701"/>
      <c r="M16" s="701"/>
      <c r="N16" s="701"/>
      <c r="O16" s="701"/>
      <c r="P16" s="701"/>
      <c r="Q16" s="701"/>
      <c r="R16" s="701"/>
      <c r="S16" s="701"/>
    </row>
    <row r="17" spans="1:19" ht="12.75">
      <c r="A17" s="646"/>
      <c r="B17" s="632"/>
      <c r="C17" s="647"/>
      <c r="D17" s="627"/>
      <c r="E17" s="635"/>
      <c r="F17" s="636"/>
      <c r="G17" s="252"/>
      <c r="H17" s="252"/>
      <c r="I17" s="252"/>
      <c r="J17" s="252"/>
      <c r="K17" s="701"/>
      <c r="L17" s="701"/>
      <c r="M17" s="701"/>
      <c r="N17" s="701"/>
      <c r="O17" s="701"/>
      <c r="P17" s="701"/>
      <c r="Q17" s="701"/>
      <c r="R17" s="701"/>
      <c r="S17" s="701"/>
    </row>
    <row r="18" spans="1:19" ht="12.75">
      <c r="A18" s="641"/>
      <c r="B18" s="632"/>
      <c r="C18" s="647"/>
      <c r="D18" s="627"/>
      <c r="E18" s="635"/>
      <c r="F18" s="644"/>
      <c r="G18" s="252"/>
      <c r="H18" s="252"/>
      <c r="I18" s="252"/>
      <c r="J18" s="252"/>
      <c r="K18" s="701"/>
      <c r="L18" s="701"/>
      <c r="M18" s="701"/>
      <c r="N18" s="701"/>
      <c r="O18" s="701"/>
      <c r="P18" s="701"/>
      <c r="Q18" s="701"/>
      <c r="R18" s="701"/>
      <c r="S18" s="701"/>
    </row>
    <row r="19" spans="1:19" ht="12.75">
      <c r="A19" s="646"/>
      <c r="B19" s="322"/>
      <c r="C19" s="642"/>
      <c r="D19" s="322"/>
      <c r="E19" s="370"/>
      <c r="F19" s="644"/>
      <c r="G19" s="252"/>
      <c r="H19" s="252"/>
      <c r="I19" s="252"/>
      <c r="J19" s="252"/>
      <c r="K19" s="701"/>
      <c r="L19" s="701"/>
      <c r="M19" s="701"/>
      <c r="N19" s="701"/>
      <c r="O19" s="701"/>
      <c r="P19" s="701"/>
      <c r="Q19" s="701"/>
      <c r="R19" s="701"/>
      <c r="S19" s="701"/>
    </row>
    <row r="20" spans="1:19" ht="12.75">
      <c r="A20" s="1165" t="s">
        <v>37</v>
      </c>
      <c r="B20" s="1166"/>
      <c r="C20" s="1166"/>
      <c r="D20" s="1166"/>
      <c r="E20" s="1166"/>
      <c r="F20" s="644">
        <f>SUM(F11:F19)</f>
        <v>31.512900000000002</v>
      </c>
      <c r="G20" s="252"/>
      <c r="H20" s="252"/>
      <c r="I20" s="252"/>
      <c r="J20" s="252"/>
      <c r="K20" s="701"/>
      <c r="L20" s="701"/>
      <c r="M20" s="701"/>
      <c r="N20" s="701"/>
      <c r="O20" s="701"/>
      <c r="P20" s="701"/>
      <c r="Q20" s="701"/>
      <c r="R20" s="701"/>
      <c r="S20" s="701"/>
    </row>
    <row r="21" spans="1:19" ht="13.5" thickBot="1">
      <c r="A21" s="1168"/>
      <c r="B21" s="1169"/>
      <c r="C21" s="1169"/>
      <c r="D21" s="1169"/>
      <c r="E21" s="1169"/>
      <c r="F21" s="1170"/>
      <c r="G21" s="252"/>
      <c r="H21" s="252"/>
      <c r="I21" s="252"/>
      <c r="J21" s="252"/>
      <c r="K21" s="701"/>
      <c r="L21" s="701"/>
      <c r="M21" s="701"/>
      <c r="N21" s="701"/>
      <c r="O21" s="701"/>
      <c r="P21" s="701"/>
      <c r="Q21" s="701"/>
      <c r="R21" s="701"/>
      <c r="S21" s="701"/>
    </row>
    <row r="22" spans="1:10" ht="12.75">
      <c r="A22" s="692" t="s">
        <v>0</v>
      </c>
      <c r="B22" s="312" t="s">
        <v>18</v>
      </c>
      <c r="C22" s="312" t="s">
        <v>31</v>
      </c>
      <c r="D22" s="312" t="s">
        <v>32</v>
      </c>
      <c r="E22" s="312" t="s">
        <v>33</v>
      </c>
      <c r="F22" s="704" t="s">
        <v>34</v>
      </c>
      <c r="G22" s="251"/>
      <c r="H22" s="251"/>
      <c r="I22" s="251"/>
      <c r="J22" s="251"/>
    </row>
    <row r="23" spans="1:10" ht="12.75">
      <c r="A23" s="694"/>
      <c r="B23" s="372"/>
      <c r="C23" s="361"/>
      <c r="D23" s="373"/>
      <c r="E23" s="361"/>
      <c r="F23" s="695"/>
      <c r="G23" s="251"/>
      <c r="H23" s="251"/>
      <c r="I23" s="251"/>
      <c r="J23" s="251"/>
    </row>
    <row r="24" spans="1:10" ht="12.75">
      <c r="A24" s="696"/>
      <c r="B24" s="375"/>
      <c r="C24" s="376"/>
      <c r="D24" s="362"/>
      <c r="E24" s="376"/>
      <c r="F24" s="697"/>
      <c r="G24" s="251"/>
      <c r="H24" s="251"/>
      <c r="I24" s="251"/>
      <c r="J24" s="251"/>
    </row>
    <row r="25" spans="1:10" ht="12.75">
      <c r="A25" s="342"/>
      <c r="B25" s="317"/>
      <c r="C25" s="377"/>
      <c r="D25" s="317"/>
      <c r="E25" s="377"/>
      <c r="F25" s="698"/>
      <c r="G25" s="251"/>
      <c r="H25" s="251"/>
      <c r="I25" s="251"/>
      <c r="J25" s="251"/>
    </row>
    <row r="26" spans="1:10" ht="12.75">
      <c r="A26" s="342"/>
      <c r="B26" s="317"/>
      <c r="C26" s="377"/>
      <c r="D26" s="317"/>
      <c r="E26" s="377"/>
      <c r="F26" s="698"/>
      <c r="G26" s="251"/>
      <c r="H26" s="251"/>
      <c r="I26" s="251"/>
      <c r="J26" s="251"/>
    </row>
    <row r="27" spans="1:10" ht="12.75">
      <c r="A27" s="699"/>
      <c r="B27" s="367"/>
      <c r="C27" s="368"/>
      <c r="D27" s="367"/>
      <c r="E27" s="368"/>
      <c r="F27" s="700"/>
      <c r="G27" s="251"/>
      <c r="H27" s="251"/>
      <c r="I27" s="251"/>
      <c r="J27" s="251"/>
    </row>
    <row r="28" spans="1:10" ht="12.75">
      <c r="A28" s="1165" t="s">
        <v>39</v>
      </c>
      <c r="B28" s="1166"/>
      <c r="C28" s="1166"/>
      <c r="D28" s="1166"/>
      <c r="E28" s="1166"/>
      <c r="F28" s="644">
        <f>SUM(F23:F27)</f>
        <v>0</v>
      </c>
      <c r="G28" s="251"/>
      <c r="H28" s="251"/>
      <c r="I28" s="251"/>
      <c r="J28" s="251"/>
    </row>
    <row r="29" spans="1:10" ht="13.5" thickBot="1">
      <c r="A29" s="1182"/>
      <c r="B29" s="1183"/>
      <c r="C29" s="1183"/>
      <c r="D29" s="1183"/>
      <c r="E29" s="1183"/>
      <c r="F29" s="1184"/>
      <c r="G29" s="251"/>
      <c r="H29" s="251"/>
      <c r="I29" s="251"/>
      <c r="J29" s="251"/>
    </row>
    <row r="30" spans="1:10" ht="12.75">
      <c r="A30" s="628" t="s">
        <v>0</v>
      </c>
      <c r="B30" s="629" t="s">
        <v>40</v>
      </c>
      <c r="C30" s="629" t="s">
        <v>31</v>
      </c>
      <c r="D30" s="629" t="s">
        <v>32</v>
      </c>
      <c r="E30" s="629" t="s">
        <v>33</v>
      </c>
      <c r="F30" s="630" t="s">
        <v>34</v>
      </c>
      <c r="G30" s="251"/>
      <c r="H30" s="251"/>
      <c r="I30" s="251"/>
      <c r="J30" s="251"/>
    </row>
    <row r="31" spans="1:10" ht="12.75">
      <c r="A31" s="637">
        <v>6111</v>
      </c>
      <c r="B31" s="638" t="s">
        <v>597</v>
      </c>
      <c r="C31" s="633">
        <v>0.35</v>
      </c>
      <c r="D31" s="634" t="s">
        <v>212</v>
      </c>
      <c r="E31" s="635">
        <v>8.83</v>
      </c>
      <c r="F31" s="644">
        <f>E31*C31</f>
        <v>3.0905</v>
      </c>
      <c r="G31" s="251"/>
      <c r="H31" s="251"/>
      <c r="I31" s="251"/>
      <c r="J31" s="251"/>
    </row>
    <row r="32" spans="1:10" ht="12.75">
      <c r="A32" s="631">
        <v>4750</v>
      </c>
      <c r="B32" s="638" t="s">
        <v>42</v>
      </c>
      <c r="C32" s="633">
        <v>0.16</v>
      </c>
      <c r="D32" s="634" t="s">
        <v>212</v>
      </c>
      <c r="E32" s="635">
        <v>11.79</v>
      </c>
      <c r="F32" s="644">
        <f>E32*C32</f>
        <v>1.8863999999999999</v>
      </c>
      <c r="G32" s="251"/>
      <c r="H32" s="251"/>
      <c r="I32" s="251"/>
      <c r="J32" s="251"/>
    </row>
    <row r="33" spans="1:10" ht="12.75">
      <c r="A33" s="646"/>
      <c r="B33" s="660"/>
      <c r="C33" s="370"/>
      <c r="D33" s="322"/>
      <c r="E33" s="370"/>
      <c r="F33" s="636">
        <f>C33*E33</f>
        <v>0</v>
      </c>
      <c r="G33" s="251"/>
      <c r="H33" s="251"/>
      <c r="I33" s="251"/>
      <c r="J33" s="251"/>
    </row>
    <row r="34" spans="1:10" ht="12.75">
      <c r="A34" s="646"/>
      <c r="B34" s="660"/>
      <c r="C34" s="370"/>
      <c r="D34" s="322"/>
      <c r="E34" s="370"/>
      <c r="F34" s="636">
        <f>C34*E34</f>
        <v>0</v>
      </c>
      <c r="G34" s="251"/>
      <c r="H34" s="251"/>
      <c r="I34" s="251"/>
      <c r="J34" s="251"/>
    </row>
    <row r="35" spans="1:10" ht="12.75">
      <c r="A35" s="631"/>
      <c r="B35" s="638"/>
      <c r="C35" s="659"/>
      <c r="D35" s="634"/>
      <c r="E35" s="659"/>
      <c r="F35" s="636">
        <f>C35*E35</f>
        <v>0</v>
      </c>
      <c r="G35" s="251"/>
      <c r="H35" s="251"/>
      <c r="I35" s="251"/>
      <c r="J35" s="251"/>
    </row>
    <row r="36" spans="1:10" ht="13.5" thickBot="1">
      <c r="A36" s="1168" t="s">
        <v>43</v>
      </c>
      <c r="B36" s="1169"/>
      <c r="C36" s="1169"/>
      <c r="D36" s="1169"/>
      <c r="E36" s="1169"/>
      <c r="F36" s="682">
        <f>SUM(F31:F35)</f>
        <v>4.9769</v>
      </c>
      <c r="G36" s="251"/>
      <c r="H36" s="251"/>
      <c r="I36" s="251"/>
      <c r="J36" s="251"/>
    </row>
    <row r="37" spans="1:10" ht="12.75">
      <c r="A37" s="1171"/>
      <c r="B37" s="1172"/>
      <c r="C37" s="1172"/>
      <c r="D37" s="1172"/>
      <c r="E37" s="1172"/>
      <c r="F37" s="1187"/>
      <c r="G37" s="251"/>
      <c r="H37" s="251"/>
      <c r="I37" s="251"/>
      <c r="J37" s="251"/>
    </row>
    <row r="38" spans="1:10" ht="12.75">
      <c r="A38" s="1165" t="s">
        <v>44</v>
      </c>
      <c r="B38" s="1166"/>
      <c r="C38" s="1166"/>
      <c r="D38" s="1166"/>
      <c r="E38" s="1166"/>
      <c r="F38" s="644">
        <f>F36</f>
        <v>4.9769</v>
      </c>
      <c r="G38" s="251"/>
      <c r="H38" s="251"/>
      <c r="I38" s="251"/>
      <c r="J38" s="251"/>
    </row>
    <row r="39" spans="1:10" ht="12.75">
      <c r="A39" s="1165"/>
      <c r="B39" s="1166"/>
      <c r="C39" s="1166"/>
      <c r="D39" s="1166"/>
      <c r="E39" s="1166"/>
      <c r="F39" s="1167"/>
      <c r="G39" s="251"/>
      <c r="H39" s="251"/>
      <c r="I39" s="251"/>
      <c r="J39" s="251"/>
    </row>
    <row r="40" spans="1:10" ht="12.75">
      <c r="A40" s="1165"/>
      <c r="B40" s="1166"/>
      <c r="C40" s="1166"/>
      <c r="D40" s="1166"/>
      <c r="E40" s="1166"/>
      <c r="F40" s="1167"/>
      <c r="G40" s="251"/>
      <c r="H40" s="251"/>
      <c r="I40" s="251"/>
      <c r="J40" s="251"/>
    </row>
    <row r="41" spans="1:10" ht="12.75">
      <c r="A41" s="1165" t="s">
        <v>45</v>
      </c>
      <c r="B41" s="1166"/>
      <c r="C41" s="1166"/>
      <c r="D41" s="1166"/>
      <c r="E41" s="1166"/>
      <c r="F41" s="644">
        <f>F38+F28+F20</f>
        <v>36.4898</v>
      </c>
      <c r="G41" s="251"/>
      <c r="H41" s="251"/>
      <c r="I41" s="251"/>
      <c r="J41" s="251"/>
    </row>
    <row r="42" spans="1:10" ht="12.75">
      <c r="A42" s="1165"/>
      <c r="B42" s="1166"/>
      <c r="C42" s="1166"/>
      <c r="D42" s="1166"/>
      <c r="E42" s="1166"/>
      <c r="F42" s="1167"/>
      <c r="G42" s="251"/>
      <c r="H42" s="251"/>
      <c r="I42" s="251"/>
      <c r="J42" s="251"/>
    </row>
    <row r="43" spans="1:10" ht="12.75">
      <c r="A43" s="1165" t="s">
        <v>46</v>
      </c>
      <c r="B43" s="1166"/>
      <c r="C43" s="1166"/>
      <c r="D43" s="1166"/>
      <c r="E43" s="421">
        <f>'[1]dados de entrada'!B10</f>
        <v>0.25</v>
      </c>
      <c r="F43" s="644">
        <f>F41*E43</f>
        <v>9.12245</v>
      </c>
      <c r="G43" s="384"/>
      <c r="H43" s="251"/>
      <c r="I43" s="251"/>
      <c r="J43" s="251"/>
    </row>
    <row r="44" spans="1:10" ht="12.75">
      <c r="A44" s="1165"/>
      <c r="B44" s="1166"/>
      <c r="C44" s="1166"/>
      <c r="D44" s="1166"/>
      <c r="E44" s="1166"/>
      <c r="F44" s="1167"/>
      <c r="G44" s="251"/>
      <c r="H44" s="251"/>
      <c r="I44" s="251"/>
      <c r="J44" s="251"/>
    </row>
    <row r="45" spans="1:10" ht="12.75">
      <c r="A45" s="1165" t="s">
        <v>47</v>
      </c>
      <c r="B45" s="1166"/>
      <c r="C45" s="1166"/>
      <c r="D45" s="1166"/>
      <c r="E45" s="1166"/>
      <c r="F45" s="644">
        <f>F41+F43</f>
        <v>45.61225</v>
      </c>
      <c r="G45" s="251"/>
      <c r="H45" s="251"/>
      <c r="I45" s="251"/>
      <c r="J45" s="251"/>
    </row>
    <row r="46" spans="1:6" ht="13.5" thickBot="1">
      <c r="A46" s="1168"/>
      <c r="B46" s="1169"/>
      <c r="C46" s="1169"/>
      <c r="D46" s="1169"/>
      <c r="E46" s="1169"/>
      <c r="F46" s="1170"/>
    </row>
  </sheetData>
  <sheetProtection/>
  <mergeCells count="25">
    <mergeCell ref="A41:E41"/>
    <mergeCell ref="A42:F42"/>
    <mergeCell ref="A43:D43"/>
    <mergeCell ref="A44:F44"/>
    <mergeCell ref="A45:E45"/>
    <mergeCell ref="A46:F46"/>
    <mergeCell ref="A28:E28"/>
    <mergeCell ref="A29:F29"/>
    <mergeCell ref="A36:E36"/>
    <mergeCell ref="A37:F37"/>
    <mergeCell ref="A38:E38"/>
    <mergeCell ref="A39:F40"/>
    <mergeCell ref="A9:F9"/>
    <mergeCell ref="H9:I9"/>
    <mergeCell ref="H10:I10"/>
    <mergeCell ref="H14:I14"/>
    <mergeCell ref="A20:E20"/>
    <mergeCell ref="A21:F21"/>
    <mergeCell ref="D1:F1"/>
    <mergeCell ref="A5:F5"/>
    <mergeCell ref="A6:F6"/>
    <mergeCell ref="A7:C7"/>
    <mergeCell ref="D7:E7"/>
    <mergeCell ref="A8:C8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D1" sqref="D1:F1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251"/>
      <c r="B1" s="356" t="s">
        <v>21</v>
      </c>
      <c r="C1" s="356" t="s">
        <v>22</v>
      </c>
      <c r="D1" s="1188" t="str">
        <f>'[1]dados de entrada'!B9</f>
        <v>SINAPI - 01/01/2014 - COM DESONERAÇÃO - SICR0  01/11/2013</v>
      </c>
      <c r="E1" s="1188"/>
      <c r="F1" s="1188"/>
      <c r="G1" s="251"/>
      <c r="H1" s="357" t="s">
        <v>230</v>
      </c>
      <c r="I1" s="251"/>
      <c r="J1" s="251"/>
    </row>
    <row r="2" spans="1:10" ht="12.75">
      <c r="A2" s="358" t="str">
        <f>'[1]dados de entrada'!B15</f>
        <v>PREFEITURA MUNICIPAL DE BOMBINHAS</v>
      </c>
      <c r="B2" s="358"/>
      <c r="C2" s="251"/>
      <c r="D2" s="251"/>
      <c r="E2" s="251" t="s">
        <v>23</v>
      </c>
      <c r="F2" s="359" t="s">
        <v>24</v>
      </c>
      <c r="G2" s="251"/>
      <c r="H2" s="251"/>
      <c r="I2" s="251"/>
      <c r="J2" s="251"/>
    </row>
    <row r="3" spans="1:10" ht="12.75">
      <c r="A3" s="358" t="str">
        <f>'[1]dados de entrada'!C19</f>
        <v>RUA ALCE - BAIRRO JOSÉ AMANDIO</v>
      </c>
      <c r="B3" s="358"/>
      <c r="C3" s="251"/>
      <c r="D3" s="251"/>
      <c r="E3" s="251" t="s">
        <v>25</v>
      </c>
      <c r="F3" s="360" t="s">
        <v>26</v>
      </c>
      <c r="G3" s="251"/>
      <c r="H3" s="251"/>
      <c r="I3" s="251"/>
      <c r="J3" s="251"/>
    </row>
    <row r="4" spans="1:10" ht="12.75">
      <c r="A4" s="358" t="str">
        <f>'[1]dados de entrada'!B8</f>
        <v>PAVIMENTAÇÃO COM LAJOTAS SEXTAVADAS E DRENAGEM PLUVIAL </v>
      </c>
      <c r="B4" s="358"/>
      <c r="C4" s="251"/>
      <c r="D4" s="251"/>
      <c r="E4" s="251"/>
      <c r="F4" s="251"/>
      <c r="G4" s="251"/>
      <c r="H4" s="251"/>
      <c r="I4" s="251"/>
      <c r="J4" s="251"/>
    </row>
    <row r="5" spans="1:10" ht="13.5" thickBot="1">
      <c r="A5" s="1176" t="s">
        <v>27</v>
      </c>
      <c r="B5" s="1176"/>
      <c r="C5" s="1176"/>
      <c r="D5" s="1176"/>
      <c r="E5" s="1176"/>
      <c r="F5" s="1176"/>
      <c r="G5" s="251"/>
      <c r="H5" s="251"/>
      <c r="I5" s="251"/>
      <c r="J5" s="251"/>
    </row>
    <row r="6" spans="1:10" ht="13.5" thickBot="1">
      <c r="A6" s="1166"/>
      <c r="B6" s="1166"/>
      <c r="C6" s="1166"/>
      <c r="D6" s="1166"/>
      <c r="E6" s="1166"/>
      <c r="F6" s="1166"/>
      <c r="G6" s="251"/>
      <c r="H6" s="251"/>
      <c r="I6" s="251"/>
      <c r="J6" s="420">
        <f>'[1]Escavação'!W30</f>
        <v>1</v>
      </c>
    </row>
    <row r="7" spans="1:10" ht="12.75">
      <c r="A7" s="1166" t="s">
        <v>28</v>
      </c>
      <c r="B7" s="1166"/>
      <c r="C7" s="1166"/>
      <c r="D7" s="1166" t="s">
        <v>29</v>
      </c>
      <c r="E7" s="1166"/>
      <c r="F7" s="322" t="s">
        <v>13</v>
      </c>
      <c r="G7" s="251"/>
      <c r="H7" s="251"/>
      <c r="I7" s="251"/>
      <c r="J7" s="251"/>
    </row>
    <row r="8" spans="1:10" ht="13.5" thickBot="1">
      <c r="A8" s="1179" t="s">
        <v>578</v>
      </c>
      <c r="B8" s="1179"/>
      <c r="C8" s="1179"/>
      <c r="D8" s="1166" t="s">
        <v>3</v>
      </c>
      <c r="E8" s="1166"/>
      <c r="F8" s="598">
        <f>'[1]dados de entrada'!B3</f>
        <v>41671</v>
      </c>
      <c r="G8" s="251"/>
      <c r="H8" s="251"/>
      <c r="I8" s="251"/>
      <c r="J8" s="251"/>
    </row>
    <row r="9" spans="1:11" ht="13.5" thickBot="1">
      <c r="A9" s="1183"/>
      <c r="B9" s="1183"/>
      <c r="C9" s="1183"/>
      <c r="D9" s="1183"/>
      <c r="E9" s="1183"/>
      <c r="F9" s="1183"/>
      <c r="G9" s="251"/>
      <c r="H9" s="1173" t="s">
        <v>460</v>
      </c>
      <c r="I9" s="1174"/>
      <c r="J9" s="249">
        <v>0.9</v>
      </c>
      <c r="K9" s="248" t="s">
        <v>426</v>
      </c>
    </row>
    <row r="10" spans="1:11" ht="13.5" thickBot="1">
      <c r="A10" s="628" t="s">
        <v>0</v>
      </c>
      <c r="B10" s="629" t="s">
        <v>30</v>
      </c>
      <c r="C10" s="629" t="s">
        <v>31</v>
      </c>
      <c r="D10" s="629" t="s">
        <v>32</v>
      </c>
      <c r="E10" s="629" t="s">
        <v>33</v>
      </c>
      <c r="F10" s="630" t="s">
        <v>34</v>
      </c>
      <c r="G10" s="251"/>
      <c r="H10" s="1173" t="s">
        <v>221</v>
      </c>
      <c r="I10" s="1174"/>
      <c r="J10" s="249">
        <f>((J9-0.2)*4*O13)-P14</f>
        <v>365.2</v>
      </c>
      <c r="K10" s="248" t="s">
        <v>427</v>
      </c>
    </row>
    <row r="11" spans="1:10" ht="12.75">
      <c r="A11" s="631">
        <v>367</v>
      </c>
      <c r="B11" s="632" t="s">
        <v>595</v>
      </c>
      <c r="C11" s="633">
        <v>0.0604</v>
      </c>
      <c r="D11" s="634" t="s">
        <v>9</v>
      </c>
      <c r="E11" s="635">
        <v>69.75</v>
      </c>
      <c r="F11" s="636">
        <f>C11*E11</f>
        <v>4.2129</v>
      </c>
      <c r="G11" s="251"/>
      <c r="H11" s="251"/>
      <c r="I11" s="251"/>
      <c r="J11" s="251"/>
    </row>
    <row r="12" spans="1:15" ht="12.75" customHeight="1">
      <c r="A12" s="631" t="s">
        <v>596</v>
      </c>
      <c r="B12" s="632" t="s">
        <v>561</v>
      </c>
      <c r="C12" s="640">
        <v>1.05</v>
      </c>
      <c r="D12" s="634" t="s">
        <v>3</v>
      </c>
      <c r="E12" s="635">
        <v>46.25</v>
      </c>
      <c r="F12" s="636">
        <f>C12*E12</f>
        <v>48.5625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12.75">
      <c r="A13" s="631"/>
      <c r="B13" s="638"/>
      <c r="C13" s="633"/>
      <c r="D13" s="634"/>
      <c r="E13" s="639"/>
      <c r="F13" s="636"/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631"/>
      <c r="B14" s="638"/>
      <c r="C14" s="640"/>
      <c r="D14" s="634"/>
      <c r="E14" s="639"/>
      <c r="F14" s="636"/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641"/>
      <c r="B15" s="632"/>
      <c r="C15" s="642"/>
      <c r="D15" s="322"/>
      <c r="E15" s="643"/>
      <c r="F15" s="644"/>
      <c r="G15" s="251"/>
      <c r="H15" s="251"/>
      <c r="I15" s="251"/>
      <c r="J15" s="251"/>
    </row>
    <row r="16" spans="1:11" ht="12.75" customHeight="1" thickBot="1">
      <c r="A16" s="631"/>
      <c r="B16" s="638"/>
      <c r="C16" s="640"/>
      <c r="D16" s="634"/>
      <c r="E16" s="639"/>
      <c r="F16" s="636"/>
      <c r="G16" s="251"/>
      <c r="H16" s="1173" t="s">
        <v>146</v>
      </c>
      <c r="I16" s="1174"/>
      <c r="J16" s="249">
        <f>C15*0.25</f>
        <v>0</v>
      </c>
      <c r="K16" s="248" t="s">
        <v>222</v>
      </c>
    </row>
    <row r="17" spans="1:10" ht="12.75">
      <c r="A17" s="631"/>
      <c r="B17" s="645"/>
      <c r="C17" s="633"/>
      <c r="D17" s="634"/>
      <c r="E17" s="639"/>
      <c r="F17" s="636"/>
      <c r="G17" s="251"/>
      <c r="H17" s="251"/>
      <c r="I17" s="251"/>
      <c r="J17" s="251"/>
    </row>
    <row r="18" spans="1:10" ht="12.75">
      <c r="A18" s="631"/>
      <c r="B18" s="638"/>
      <c r="C18" s="640"/>
      <c r="D18" s="634"/>
      <c r="E18" s="639"/>
      <c r="F18" s="636"/>
      <c r="G18" s="251"/>
      <c r="H18" s="251"/>
      <c r="I18" s="251"/>
      <c r="J18" s="251"/>
    </row>
    <row r="19" spans="1:10" ht="12.75">
      <c r="A19" s="646"/>
      <c r="B19" s="632"/>
      <c r="C19" s="647"/>
      <c r="D19" s="627"/>
      <c r="E19" s="635"/>
      <c r="F19" s="636"/>
      <c r="G19" s="251"/>
      <c r="H19" s="251"/>
      <c r="I19" s="251"/>
      <c r="J19" s="251"/>
    </row>
    <row r="20" spans="1:10" ht="12.75">
      <c r="A20" s="641"/>
      <c r="B20" s="632"/>
      <c r="C20" s="647"/>
      <c r="D20" s="627"/>
      <c r="E20" s="635"/>
      <c r="F20" s="644"/>
      <c r="G20" s="251"/>
      <c r="H20" s="251"/>
      <c r="I20" s="251"/>
      <c r="J20" s="251"/>
    </row>
    <row r="21" spans="1:10" ht="12.75">
      <c r="A21" s="646"/>
      <c r="B21" s="322"/>
      <c r="C21" s="642"/>
      <c r="D21" s="322"/>
      <c r="E21" s="370"/>
      <c r="F21" s="644"/>
      <c r="G21" s="251"/>
      <c r="H21" s="251"/>
      <c r="I21" s="251"/>
      <c r="J21" s="251"/>
    </row>
    <row r="22" spans="1:10" ht="12.75">
      <c r="A22" s="1165" t="s">
        <v>37</v>
      </c>
      <c r="B22" s="1166"/>
      <c r="C22" s="1166"/>
      <c r="D22" s="1166"/>
      <c r="E22" s="1166"/>
      <c r="F22" s="644">
        <f>SUM(F11:F21)</f>
        <v>52.7754</v>
      </c>
      <c r="G22" s="251"/>
      <c r="H22" s="251"/>
      <c r="I22" s="251"/>
      <c r="J22" s="251"/>
    </row>
    <row r="23" spans="1:10" ht="13.5" thickBot="1">
      <c r="A23" s="1168"/>
      <c r="B23" s="1169"/>
      <c r="C23" s="1169"/>
      <c r="D23" s="1169"/>
      <c r="E23" s="1169"/>
      <c r="F23" s="1170"/>
      <c r="G23" s="251"/>
      <c r="H23" s="251"/>
      <c r="I23" s="251"/>
      <c r="J23" s="251"/>
    </row>
    <row r="24" spans="1:10" ht="12.75">
      <c r="A24" s="312" t="s">
        <v>0</v>
      </c>
      <c r="B24" s="312" t="s">
        <v>18</v>
      </c>
      <c r="C24" s="312" t="s">
        <v>31</v>
      </c>
      <c r="D24" s="312" t="s">
        <v>32</v>
      </c>
      <c r="E24" s="312" t="s">
        <v>33</v>
      </c>
      <c r="F24" s="312" t="s">
        <v>34</v>
      </c>
      <c r="G24" s="251"/>
      <c r="H24" s="251"/>
      <c r="I24" s="251"/>
      <c r="J24" s="251"/>
    </row>
    <row r="25" spans="1:10" ht="12.75">
      <c r="A25" s="371"/>
      <c r="B25" s="372"/>
      <c r="C25" s="361"/>
      <c r="D25" s="373"/>
      <c r="E25" s="361"/>
      <c r="F25" s="374"/>
      <c r="G25" s="251" t="s">
        <v>226</v>
      </c>
      <c r="H25" s="251"/>
      <c r="I25" s="251"/>
      <c r="J25" s="251"/>
    </row>
    <row r="26" spans="1:10" ht="12.75">
      <c r="A26" s="364"/>
      <c r="B26" s="375"/>
      <c r="C26" s="376"/>
      <c r="D26" s="362"/>
      <c r="E26" s="376"/>
      <c r="F26" s="363"/>
      <c r="G26" s="251"/>
      <c r="H26" s="251"/>
      <c r="I26" s="251"/>
      <c r="J26" s="251"/>
    </row>
    <row r="27" spans="1:10" ht="12.75">
      <c r="A27" s="316"/>
      <c r="B27" s="317"/>
      <c r="C27" s="377"/>
      <c r="D27" s="317"/>
      <c r="E27" s="377"/>
      <c r="F27" s="365"/>
      <c r="G27" s="251"/>
      <c r="H27" s="251"/>
      <c r="I27" s="251"/>
      <c r="J27" s="251"/>
    </row>
    <row r="28" spans="1:10" ht="12.75">
      <c r="A28" s="316"/>
      <c r="B28" s="317"/>
      <c r="C28" s="377"/>
      <c r="D28" s="317"/>
      <c r="E28" s="377"/>
      <c r="F28" s="365"/>
      <c r="G28" s="251"/>
      <c r="H28" s="251"/>
      <c r="I28" s="251"/>
      <c r="J28" s="251"/>
    </row>
    <row r="29" spans="1:10" ht="12.75">
      <c r="A29" s="366"/>
      <c r="B29" s="367"/>
      <c r="C29" s="368"/>
      <c r="D29" s="367"/>
      <c r="E29" s="368"/>
      <c r="F29" s="369"/>
      <c r="G29" s="251"/>
      <c r="H29" s="251"/>
      <c r="I29" s="251"/>
      <c r="J29" s="251"/>
    </row>
    <row r="30" spans="1:10" ht="12.75">
      <c r="A30" s="1166" t="s">
        <v>39</v>
      </c>
      <c r="B30" s="1166"/>
      <c r="C30" s="1166"/>
      <c r="D30" s="1166"/>
      <c r="E30" s="1166"/>
      <c r="F30" s="370">
        <f>SUM(F25:F29)</f>
        <v>0</v>
      </c>
      <c r="G30" s="251"/>
      <c r="H30" s="251"/>
      <c r="I30" s="251"/>
      <c r="J30" s="251"/>
    </row>
    <row r="31" spans="1:10" ht="12.75">
      <c r="A31" s="1166"/>
      <c r="B31" s="1166"/>
      <c r="C31" s="1166"/>
      <c r="D31" s="1166"/>
      <c r="E31" s="1166"/>
      <c r="F31" s="1166"/>
      <c r="G31" s="251"/>
      <c r="H31" s="251"/>
      <c r="I31" s="251"/>
      <c r="J31" s="251"/>
    </row>
    <row r="32" spans="1:10" ht="12.75">
      <c r="A32" s="322" t="s">
        <v>0</v>
      </c>
      <c r="B32" s="322" t="s">
        <v>40</v>
      </c>
      <c r="C32" s="322" t="s">
        <v>31</v>
      </c>
      <c r="D32" s="322" t="s">
        <v>32</v>
      </c>
      <c r="E32" s="322" t="s">
        <v>33</v>
      </c>
      <c r="F32" s="322" t="s">
        <v>34</v>
      </c>
      <c r="G32" s="251"/>
      <c r="H32" s="251"/>
      <c r="I32" s="251"/>
      <c r="J32" s="251"/>
    </row>
    <row r="33" spans="1:10" ht="12.75">
      <c r="A33" s="637">
        <v>6111</v>
      </c>
      <c r="B33" s="638" t="s">
        <v>597</v>
      </c>
      <c r="C33" s="633">
        <v>0.35</v>
      </c>
      <c r="D33" s="634" t="s">
        <v>212</v>
      </c>
      <c r="E33" s="635">
        <v>8.83</v>
      </c>
      <c r="F33" s="644">
        <f>E33*C33</f>
        <v>3.0905</v>
      </c>
      <c r="G33" s="251"/>
      <c r="H33" s="251" t="s">
        <v>227</v>
      </c>
      <c r="I33" s="251" t="s">
        <v>431</v>
      </c>
      <c r="J33" s="251"/>
    </row>
    <row r="34" spans="1:10" ht="12.75">
      <c r="A34" s="631">
        <v>4750</v>
      </c>
      <c r="B34" s="638" t="s">
        <v>42</v>
      </c>
      <c r="C34" s="633">
        <v>0.16</v>
      </c>
      <c r="D34" s="634" t="s">
        <v>212</v>
      </c>
      <c r="E34" s="635">
        <v>11.79</v>
      </c>
      <c r="F34" s="644">
        <f>E34*C34</f>
        <v>1.8863999999999999</v>
      </c>
      <c r="G34" s="251"/>
      <c r="H34" s="251" t="s">
        <v>228</v>
      </c>
      <c r="I34" s="251" t="s">
        <v>432</v>
      </c>
      <c r="J34" s="251"/>
    </row>
    <row r="35" spans="1:10" ht="12.75">
      <c r="A35" s="316"/>
      <c r="B35" s="378"/>
      <c r="C35" s="377"/>
      <c r="D35" s="317"/>
      <c r="E35" s="377"/>
      <c r="F35" s="363">
        <f>C35*E35</f>
        <v>0</v>
      </c>
      <c r="G35" s="251"/>
      <c r="H35" s="251"/>
      <c r="I35" s="251"/>
      <c r="J35" s="251"/>
    </row>
    <row r="36" spans="1:10" ht="12.75">
      <c r="A36" s="316"/>
      <c r="B36" s="378"/>
      <c r="C36" s="377"/>
      <c r="D36" s="317"/>
      <c r="E36" s="377"/>
      <c r="F36" s="363">
        <f>C36*E36</f>
        <v>0</v>
      </c>
      <c r="G36" s="251"/>
      <c r="H36" s="251"/>
      <c r="I36" s="251"/>
      <c r="J36" s="251"/>
    </row>
    <row r="37" spans="1:10" ht="12.75">
      <c r="A37" s="379"/>
      <c r="B37" s="380"/>
      <c r="C37" s="381"/>
      <c r="D37" s="382"/>
      <c r="E37" s="381"/>
      <c r="F37" s="383">
        <f>C37*E37</f>
        <v>0</v>
      </c>
      <c r="G37" s="251"/>
      <c r="H37" s="251"/>
      <c r="I37" s="251"/>
      <c r="J37" s="251"/>
    </row>
    <row r="38" spans="1:10" ht="12.75">
      <c r="A38" s="1166" t="s">
        <v>43</v>
      </c>
      <c r="B38" s="1166"/>
      <c r="C38" s="1166"/>
      <c r="D38" s="1166"/>
      <c r="E38" s="1166"/>
      <c r="F38" s="370">
        <f>SUM(F33:F37)</f>
        <v>4.9769</v>
      </c>
      <c r="G38" s="251"/>
      <c r="H38" s="251"/>
      <c r="I38" s="251"/>
      <c r="J38" s="251"/>
    </row>
    <row r="39" spans="1:10" ht="12.75">
      <c r="A39" s="1166"/>
      <c r="B39" s="1166"/>
      <c r="C39" s="1166"/>
      <c r="D39" s="1166"/>
      <c r="E39" s="1166"/>
      <c r="F39" s="1166"/>
      <c r="G39" s="251"/>
      <c r="H39" s="251"/>
      <c r="I39" s="251"/>
      <c r="J39" s="251"/>
    </row>
    <row r="40" spans="1:10" ht="12.75">
      <c r="A40" s="1166" t="s">
        <v>44</v>
      </c>
      <c r="B40" s="1166"/>
      <c r="C40" s="1166"/>
      <c r="D40" s="1166"/>
      <c r="E40" s="1166"/>
      <c r="F40" s="370">
        <f>F38</f>
        <v>4.9769</v>
      </c>
      <c r="G40" s="251"/>
      <c r="H40" s="251"/>
      <c r="I40" s="251"/>
      <c r="J40" s="251"/>
    </row>
    <row r="41" spans="1:10" ht="12.75">
      <c r="A41" s="1166"/>
      <c r="B41" s="1166"/>
      <c r="C41" s="1166"/>
      <c r="D41" s="1166"/>
      <c r="E41" s="1166"/>
      <c r="F41" s="1166"/>
      <c r="G41" s="251"/>
      <c r="H41" s="251"/>
      <c r="I41" s="251"/>
      <c r="J41" s="251"/>
    </row>
    <row r="42" spans="1:10" ht="12.75">
      <c r="A42" s="1166"/>
      <c r="B42" s="1166"/>
      <c r="C42" s="1166"/>
      <c r="D42" s="1166"/>
      <c r="E42" s="1166"/>
      <c r="F42" s="1166"/>
      <c r="G42" s="251"/>
      <c r="H42" s="251"/>
      <c r="I42" s="251"/>
      <c r="J42" s="251"/>
    </row>
    <row r="43" spans="1:10" ht="12.75">
      <c r="A43" s="1166" t="s">
        <v>45</v>
      </c>
      <c r="B43" s="1166"/>
      <c r="C43" s="1166"/>
      <c r="D43" s="1166"/>
      <c r="E43" s="1166"/>
      <c r="F43" s="370">
        <f>F40+F30+F22</f>
        <v>57.7523</v>
      </c>
      <c r="G43" s="251"/>
      <c r="H43" s="251"/>
      <c r="I43" s="251"/>
      <c r="J43" s="251"/>
    </row>
    <row r="44" spans="1:10" ht="12.75">
      <c r="A44" s="1166"/>
      <c r="B44" s="1166"/>
      <c r="C44" s="1166"/>
      <c r="D44" s="1166"/>
      <c r="E44" s="1166"/>
      <c r="F44" s="1166"/>
      <c r="G44" s="251"/>
      <c r="H44" s="251"/>
      <c r="I44" s="251"/>
      <c r="J44" s="251"/>
    </row>
    <row r="45" spans="1:10" ht="12.75">
      <c r="A45" s="1166" t="s">
        <v>46</v>
      </c>
      <c r="B45" s="1166"/>
      <c r="C45" s="1166"/>
      <c r="D45" s="1166"/>
      <c r="E45" s="421">
        <f>'[1]dados de entrada'!B10</f>
        <v>0.25</v>
      </c>
      <c r="F45" s="370">
        <f>F43*E45</f>
        <v>14.438075</v>
      </c>
      <c r="G45" s="384" t="s">
        <v>229</v>
      </c>
      <c r="H45" s="251"/>
      <c r="I45" s="251"/>
      <c r="J45" s="251"/>
    </row>
    <row r="46" spans="1:10" ht="12.75">
      <c r="A46" s="1166"/>
      <c r="B46" s="1166"/>
      <c r="C46" s="1166"/>
      <c r="D46" s="1166"/>
      <c r="E46" s="1166"/>
      <c r="F46" s="1166"/>
      <c r="G46" s="251"/>
      <c r="H46" s="251"/>
      <c r="I46" s="251"/>
      <c r="J46" s="251"/>
    </row>
    <row r="47" spans="1:10" ht="12.75">
      <c r="A47" s="1166" t="s">
        <v>47</v>
      </c>
      <c r="B47" s="1166"/>
      <c r="C47" s="1166"/>
      <c r="D47" s="1166"/>
      <c r="E47" s="1166"/>
      <c r="F47" s="370">
        <f>F43+F45</f>
        <v>72.190375</v>
      </c>
      <c r="G47" s="251"/>
      <c r="H47" s="251"/>
      <c r="I47" s="251"/>
      <c r="J47" s="251"/>
    </row>
    <row r="48" spans="1:6" ht="12.75">
      <c r="A48" s="1166"/>
      <c r="B48" s="1166"/>
      <c r="C48" s="1166"/>
      <c r="D48" s="1166"/>
      <c r="E48" s="1166"/>
      <c r="F48" s="1166"/>
    </row>
  </sheetData>
  <sheetProtection/>
  <mergeCells count="25">
    <mergeCell ref="A43:E43"/>
    <mergeCell ref="A44:F44"/>
    <mergeCell ref="A45:D45"/>
    <mergeCell ref="A46:F46"/>
    <mergeCell ref="A47:E47"/>
    <mergeCell ref="A48:F48"/>
    <mergeCell ref="A30:E30"/>
    <mergeCell ref="A31:F31"/>
    <mergeCell ref="A38:E38"/>
    <mergeCell ref="A39:F39"/>
    <mergeCell ref="A40:E40"/>
    <mergeCell ref="A41:F42"/>
    <mergeCell ref="A9:F9"/>
    <mergeCell ref="H9:I9"/>
    <mergeCell ref="H10:I10"/>
    <mergeCell ref="H16:I16"/>
    <mergeCell ref="A22:E22"/>
    <mergeCell ref="A23:F23"/>
    <mergeCell ref="D1:F1"/>
    <mergeCell ref="A5:F5"/>
    <mergeCell ref="A6:F6"/>
    <mergeCell ref="A7:C7"/>
    <mergeCell ref="D7:E7"/>
    <mergeCell ref="A8:C8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00390625" style="104" bestFit="1" customWidth="1"/>
    <col min="2" max="2" width="65.421875" style="79" customWidth="1"/>
    <col min="3" max="3" width="17.57421875" style="105" customWidth="1"/>
    <col min="4" max="4" width="12.7109375" style="76" bestFit="1" customWidth="1"/>
    <col min="5" max="5" width="6.8515625" style="79" bestFit="1" customWidth="1"/>
    <col min="6" max="6" width="5.7109375" style="79" bestFit="1" customWidth="1"/>
    <col min="7" max="7" width="5.00390625" style="79" customWidth="1"/>
    <col min="8" max="10" width="5.7109375" style="79" bestFit="1" customWidth="1"/>
    <col min="11" max="11" width="5.8515625" style="79" customWidth="1"/>
    <col min="12" max="16384" width="9.140625" style="79" customWidth="1"/>
  </cols>
  <sheetData>
    <row r="1" spans="1:4" s="71" customFormat="1" ht="15.75">
      <c r="A1" s="1207" t="s">
        <v>59</v>
      </c>
      <c r="B1" s="1207"/>
      <c r="C1" s="1207"/>
      <c r="D1" s="70"/>
    </row>
    <row r="2" spans="1:4" s="71" customFormat="1" ht="21" thickBot="1">
      <c r="A2" s="1206" t="str">
        <f>'dados de entrada'!B15</f>
        <v>PREFEITURA MUNICIPAL DE BOMBINHAS</v>
      </c>
      <c r="B2" s="1206"/>
      <c r="C2" s="1206"/>
      <c r="D2" s="70"/>
    </row>
    <row r="3" spans="1:4" s="73" customFormat="1" ht="15.75" thickBot="1">
      <c r="A3" s="1208" t="str">
        <f>'dados de entrada'!B8</f>
        <v>PAVIMENTAÇÃO COM LAJOTAS SEXTAVADAS E DRENAGEM PLUVIAL </v>
      </c>
      <c r="B3" s="1209"/>
      <c r="C3" s="1210"/>
      <c r="D3" s="72"/>
    </row>
    <row r="4" spans="1:4" s="75" customFormat="1" ht="15.75" customHeight="1" thickBot="1">
      <c r="A4" s="1211" t="str">
        <f>'dados de entrada'!C19</f>
        <v>RUA CANGURU - BAIRRO JOSÉ AMANDIO</v>
      </c>
      <c r="B4" s="1212"/>
      <c r="C4" s="1213"/>
      <c r="D4" s="74"/>
    </row>
    <row r="5" spans="1:10" ht="15.75" thickBot="1">
      <c r="A5" s="1214" t="s">
        <v>598</v>
      </c>
      <c r="B5" s="1214"/>
      <c r="C5" s="1214"/>
      <c r="E5" s="77" t="s">
        <v>165</v>
      </c>
      <c r="F5" s="77" t="s">
        <v>166</v>
      </c>
      <c r="G5" s="78" t="s">
        <v>167</v>
      </c>
      <c r="H5" s="77" t="s">
        <v>168</v>
      </c>
      <c r="I5" s="78" t="s">
        <v>169</v>
      </c>
      <c r="J5" s="77" t="s">
        <v>170</v>
      </c>
    </row>
    <row r="6" spans="1:10" ht="16.5" thickBot="1">
      <c r="A6" s="80" t="s">
        <v>171</v>
      </c>
      <c r="B6" s="81" t="s">
        <v>172</v>
      </c>
      <c r="C6" s="82" t="s">
        <v>7</v>
      </c>
      <c r="E6" s="83">
        <f>(((1+(F6/100))*(1+(G6/100))*(1+(H6/100))*(1+(J6/100))/(1-(I6/100)))-1)*100</f>
        <v>25.00351929032263</v>
      </c>
      <c r="F6" s="83">
        <v>6</v>
      </c>
      <c r="G6" s="84">
        <v>1.15</v>
      </c>
      <c r="H6" s="83">
        <v>2</v>
      </c>
      <c r="I6" s="84">
        <v>7</v>
      </c>
      <c r="J6" s="83">
        <v>6.3</v>
      </c>
    </row>
    <row r="7" spans="1:7" ht="12.75">
      <c r="A7" s="85">
        <v>1</v>
      </c>
      <c r="B7" s="86" t="s">
        <v>173</v>
      </c>
      <c r="C7" s="87"/>
      <c r="G7" s="88"/>
    </row>
    <row r="8" spans="1:3" ht="12.75">
      <c r="A8" s="89" t="s">
        <v>8</v>
      </c>
      <c r="B8" s="90" t="s">
        <v>174</v>
      </c>
      <c r="C8" s="91">
        <v>0.03</v>
      </c>
    </row>
    <row r="9" spans="1:3" ht="12.75">
      <c r="A9" s="89" t="s">
        <v>164</v>
      </c>
      <c r="B9" s="90" t="s">
        <v>175</v>
      </c>
      <c r="C9" s="91">
        <v>0.02</v>
      </c>
    </row>
    <row r="10" spans="1:3" ht="12.75">
      <c r="A10" s="92" t="s">
        <v>176</v>
      </c>
      <c r="B10" s="90" t="s">
        <v>177</v>
      </c>
      <c r="C10" s="91">
        <v>0.01</v>
      </c>
    </row>
    <row r="11" spans="1:4" s="76" customFormat="1" ht="13.5" thickBot="1">
      <c r="A11" s="93"/>
      <c r="B11" s="94" t="s">
        <v>178</v>
      </c>
      <c r="C11" s="95">
        <f>SUM(C8:C10)</f>
        <v>0.060000000000000005</v>
      </c>
      <c r="D11" s="76" t="s">
        <v>179</v>
      </c>
    </row>
    <row r="12" spans="1:3" ht="12.75">
      <c r="A12" s="85">
        <v>2</v>
      </c>
      <c r="B12" s="86" t="s">
        <v>180</v>
      </c>
      <c r="C12" s="96"/>
    </row>
    <row r="13" spans="1:4" ht="12.75">
      <c r="A13" s="92" t="s">
        <v>52</v>
      </c>
      <c r="B13" s="97" t="s">
        <v>181</v>
      </c>
      <c r="C13" s="91">
        <v>0.0115</v>
      </c>
      <c r="D13" s="76" t="s">
        <v>182</v>
      </c>
    </row>
    <row r="14" spans="1:4" ht="12.75">
      <c r="A14" s="98" t="s">
        <v>53</v>
      </c>
      <c r="B14" s="99" t="s">
        <v>183</v>
      </c>
      <c r="C14" s="91">
        <v>0.004</v>
      </c>
      <c r="D14" s="76" t="s">
        <v>184</v>
      </c>
    </row>
    <row r="15" spans="1:6" ht="12.75">
      <c r="A15" s="98" t="s">
        <v>54</v>
      </c>
      <c r="B15" s="99" t="s">
        <v>185</v>
      </c>
      <c r="C15" s="91">
        <v>0.016</v>
      </c>
      <c r="D15" s="76" t="s">
        <v>186</v>
      </c>
      <c r="E15" s="100">
        <f>C15+C14</f>
        <v>0.02</v>
      </c>
      <c r="F15" s="88" t="s">
        <v>168</v>
      </c>
    </row>
    <row r="16" spans="1:3" s="76" customFormat="1" ht="13.5" thickBot="1">
      <c r="A16" s="93"/>
      <c r="B16" s="94" t="s">
        <v>178</v>
      </c>
      <c r="C16" s="95">
        <f>SUM(C13:C15)</f>
        <v>0.0315</v>
      </c>
    </row>
    <row r="17" spans="1:3" ht="12.75">
      <c r="A17" s="85">
        <v>3</v>
      </c>
      <c r="B17" s="86" t="s">
        <v>187</v>
      </c>
      <c r="C17" s="96"/>
    </row>
    <row r="18" spans="1:3" ht="12.75">
      <c r="A18" s="92" t="s">
        <v>57</v>
      </c>
      <c r="B18" s="97" t="s">
        <v>188</v>
      </c>
      <c r="C18" s="91">
        <v>0.07</v>
      </c>
    </row>
    <row r="19" spans="1:4" s="76" customFormat="1" ht="13.5" thickBot="1">
      <c r="A19" s="93"/>
      <c r="B19" s="94" t="s">
        <v>178</v>
      </c>
      <c r="C19" s="95">
        <f>C18</f>
        <v>0.07</v>
      </c>
      <c r="D19" s="76" t="s">
        <v>189</v>
      </c>
    </row>
    <row r="20" spans="1:3" ht="12.75">
      <c r="A20" s="85">
        <v>4</v>
      </c>
      <c r="B20" s="86" t="s">
        <v>190</v>
      </c>
      <c r="C20" s="96"/>
    </row>
    <row r="21" spans="1:3" ht="12.75">
      <c r="A21" s="92" t="s">
        <v>147</v>
      </c>
      <c r="B21" s="90" t="s">
        <v>191</v>
      </c>
      <c r="C21" s="91">
        <v>0.063</v>
      </c>
    </row>
    <row r="22" spans="1:4" s="76" customFormat="1" ht="13.5" thickBot="1">
      <c r="A22" s="93"/>
      <c r="B22" s="94" t="s">
        <v>178</v>
      </c>
      <c r="C22" s="95">
        <f>C21</f>
        <v>0.063</v>
      </c>
      <c r="D22" s="76" t="s">
        <v>192</v>
      </c>
    </row>
    <row r="23" spans="1:4" s="103" customFormat="1" ht="15.75" thickBot="1">
      <c r="A23" s="1204" t="s">
        <v>193</v>
      </c>
      <c r="B23" s="1205"/>
      <c r="C23" s="101">
        <v>0.25</v>
      </c>
      <c r="D23" s="102"/>
    </row>
    <row r="24" ht="13.5" thickBot="1"/>
    <row r="25" spans="1:3" ht="12.75">
      <c r="A25" s="1189" t="s">
        <v>194</v>
      </c>
      <c r="B25" s="1190"/>
      <c r="C25" s="1191"/>
    </row>
    <row r="26" spans="1:4" s="107" customFormat="1" ht="12">
      <c r="A26" s="1192" t="s">
        <v>195</v>
      </c>
      <c r="B26" s="1193"/>
      <c r="C26" s="1194"/>
      <c r="D26" s="106"/>
    </row>
    <row r="27" spans="1:4" s="107" customFormat="1" ht="12.75">
      <c r="A27" s="1200"/>
      <c r="B27" s="1201"/>
      <c r="C27" s="1202"/>
      <c r="D27" s="106"/>
    </row>
    <row r="28" spans="1:4" s="107" customFormat="1" ht="12.75">
      <c r="A28" s="1200"/>
      <c r="B28" s="1201"/>
      <c r="C28" s="1202"/>
      <c r="D28" s="106"/>
    </row>
    <row r="29" spans="1:3" ht="12.75">
      <c r="A29" s="1200"/>
      <c r="B29" s="1201"/>
      <c r="C29" s="1202"/>
    </row>
    <row r="30" spans="1:3" ht="12.75">
      <c r="A30" s="1203" t="s">
        <v>455</v>
      </c>
      <c r="B30" s="1201"/>
      <c r="C30" s="1202"/>
    </row>
    <row r="31" spans="1:5" ht="15">
      <c r="A31" s="1195" t="str">
        <f>'dados de entrada'!C24</f>
        <v>Carlos Alberto Bley</v>
      </c>
      <c r="B31" s="1196"/>
      <c r="C31" s="1197"/>
      <c r="D31" s="108"/>
      <c r="E31" s="109"/>
    </row>
    <row r="32" spans="1:5" ht="13.5" thickBot="1">
      <c r="A32" s="875" t="str">
        <f>'dados de entrada'!B17</f>
        <v>Engenheiro Civil - CREA SC 008.333-3</v>
      </c>
      <c r="B32" s="1198"/>
      <c r="C32" s="1199"/>
      <c r="D32" s="110"/>
      <c r="E32" s="109"/>
    </row>
  </sheetData>
  <sheetProtection/>
  <mergeCells count="14">
    <mergeCell ref="A23:B23"/>
    <mergeCell ref="A2:C2"/>
    <mergeCell ref="A1:C1"/>
    <mergeCell ref="A3:C3"/>
    <mergeCell ref="A4:C4"/>
    <mergeCell ref="A5:C5"/>
    <mergeCell ref="A25:C25"/>
    <mergeCell ref="A26:C26"/>
    <mergeCell ref="A31:C31"/>
    <mergeCell ref="A32:C32"/>
    <mergeCell ref="A27:C27"/>
    <mergeCell ref="A28:C28"/>
    <mergeCell ref="A29:C29"/>
    <mergeCell ref="A30:C30"/>
  </mergeCells>
  <printOptions horizontalCentered="1"/>
  <pageMargins left="0.2362204724409449" right="0.2362204724409449" top="0.8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28125" style="0" bestFit="1" customWidth="1"/>
    <col min="2" max="2" width="65.8515625" style="0" bestFit="1" customWidth="1"/>
    <col min="3" max="3" width="20.7109375" style="0" customWidth="1"/>
    <col min="7" max="7" width="17.421875" style="0" customWidth="1"/>
    <col min="8" max="8" width="28.28125" style="0" customWidth="1"/>
    <col min="12" max="12" width="20.00390625" style="0" customWidth="1"/>
  </cols>
  <sheetData>
    <row r="1" spans="1:13" ht="12.75">
      <c r="A1" s="62" t="s">
        <v>434</v>
      </c>
      <c r="B1" s="59" t="s">
        <v>567</v>
      </c>
      <c r="G1" s="58" t="s">
        <v>114</v>
      </c>
      <c r="H1" s="58" t="s">
        <v>113</v>
      </c>
      <c r="I1" s="58" t="s">
        <v>124</v>
      </c>
      <c r="L1" s="58" t="s">
        <v>112</v>
      </c>
      <c r="M1" s="58" t="s">
        <v>137</v>
      </c>
    </row>
    <row r="2" spans="1:13" ht="12.75">
      <c r="A2" s="62" t="s">
        <v>158</v>
      </c>
      <c r="B2" s="59" t="s">
        <v>563</v>
      </c>
      <c r="G2" s="58" t="s">
        <v>116</v>
      </c>
      <c r="H2" s="58" t="s">
        <v>117</v>
      </c>
      <c r="I2" s="58">
        <v>1</v>
      </c>
      <c r="J2" t="str">
        <f>IF(I2=1,"Prefeito","Prefeita")</f>
        <v>Prefeito</v>
      </c>
      <c r="L2" s="58" t="s">
        <v>84</v>
      </c>
      <c r="M2" s="58" t="s">
        <v>138</v>
      </c>
    </row>
    <row r="3" spans="1:12" ht="12.75">
      <c r="A3" s="62" t="s">
        <v>110</v>
      </c>
      <c r="B3" s="60">
        <v>41671</v>
      </c>
      <c r="G3" s="58" t="s">
        <v>118</v>
      </c>
      <c r="H3" s="58" t="s">
        <v>417</v>
      </c>
      <c r="I3" s="58">
        <v>1</v>
      </c>
      <c r="J3" t="str">
        <f aca="true" t="shared" si="0" ref="J3:J12">IF(I3=1,"Prefeito","Prefeita")</f>
        <v>Prefeito</v>
      </c>
      <c r="L3" s="58" t="s">
        <v>139</v>
      </c>
    </row>
    <row r="4" spans="1:12" ht="12.75">
      <c r="A4" s="62" t="s">
        <v>115</v>
      </c>
      <c r="B4" s="59" t="s">
        <v>545</v>
      </c>
      <c r="C4" s="58" t="s">
        <v>145</v>
      </c>
      <c r="G4" s="58" t="s">
        <v>119</v>
      </c>
      <c r="H4" s="58" t="s">
        <v>546</v>
      </c>
      <c r="I4" s="58">
        <v>1</v>
      </c>
      <c r="J4" t="str">
        <f t="shared" si="0"/>
        <v>Prefeito</v>
      </c>
      <c r="L4" s="58" t="s">
        <v>140</v>
      </c>
    </row>
    <row r="5" spans="1:13" ht="12.75">
      <c r="A5" s="62" t="s">
        <v>111</v>
      </c>
      <c r="B5" s="61" t="str">
        <f>VLOOKUP(B4,G2:H12,2,1)</f>
        <v>Ana Paula da Silva</v>
      </c>
      <c r="C5" s="58" t="s">
        <v>149</v>
      </c>
      <c r="G5" s="58" t="s">
        <v>120</v>
      </c>
      <c r="H5" s="58" t="s">
        <v>121</v>
      </c>
      <c r="I5">
        <v>2</v>
      </c>
      <c r="J5" t="str">
        <f t="shared" si="0"/>
        <v>Prefeita</v>
      </c>
      <c r="L5" s="58" t="s">
        <v>141</v>
      </c>
      <c r="M5" t="s">
        <v>154</v>
      </c>
    </row>
    <row r="6" spans="1:10" ht="12.75">
      <c r="A6" s="62" t="s">
        <v>112</v>
      </c>
      <c r="B6" s="59" t="s">
        <v>84</v>
      </c>
      <c r="G6" s="58" t="s">
        <v>122</v>
      </c>
      <c r="H6" s="58" t="s">
        <v>123</v>
      </c>
      <c r="I6">
        <v>1</v>
      </c>
      <c r="J6" t="str">
        <f t="shared" si="0"/>
        <v>Prefeito</v>
      </c>
    </row>
    <row r="7" spans="1:10" ht="12.75">
      <c r="A7" s="62" t="s">
        <v>137</v>
      </c>
      <c r="B7" s="61" t="s">
        <v>461</v>
      </c>
      <c r="C7" s="58" t="s">
        <v>462</v>
      </c>
      <c r="G7" s="58" t="s">
        <v>127</v>
      </c>
      <c r="H7" s="58" t="s">
        <v>128</v>
      </c>
      <c r="I7">
        <v>1</v>
      </c>
      <c r="J7" t="str">
        <f t="shared" si="0"/>
        <v>Prefeito</v>
      </c>
    </row>
    <row r="8" spans="1:10" ht="12.75">
      <c r="A8" s="62" t="s">
        <v>143</v>
      </c>
      <c r="B8" s="59" t="s">
        <v>564</v>
      </c>
      <c r="G8" s="58" t="s">
        <v>125</v>
      </c>
      <c r="H8" s="58" t="s">
        <v>126</v>
      </c>
      <c r="I8">
        <v>1</v>
      </c>
      <c r="J8" t="str">
        <f t="shared" si="0"/>
        <v>Prefeito</v>
      </c>
    </row>
    <row r="9" spans="1:10" ht="12.75">
      <c r="A9" s="123" t="s">
        <v>26</v>
      </c>
      <c r="B9" s="706" t="s">
        <v>610</v>
      </c>
      <c r="G9" s="58" t="s">
        <v>129</v>
      </c>
      <c r="H9" s="58" t="s">
        <v>130</v>
      </c>
      <c r="I9">
        <v>1</v>
      </c>
      <c r="J9" t="str">
        <f t="shared" si="0"/>
        <v>Prefeito</v>
      </c>
    </row>
    <row r="10" spans="1:10" ht="12.75">
      <c r="A10" s="123" t="s">
        <v>46</v>
      </c>
      <c r="B10" s="171">
        <v>0.25</v>
      </c>
      <c r="G10" s="58" t="s">
        <v>131</v>
      </c>
      <c r="H10" s="58" t="s">
        <v>132</v>
      </c>
      <c r="I10">
        <v>1</v>
      </c>
      <c r="J10" t="str">
        <f t="shared" si="0"/>
        <v>Prefeito</v>
      </c>
    </row>
    <row r="11" spans="1:10" ht="12.75">
      <c r="A11" s="123" t="s">
        <v>599</v>
      </c>
      <c r="B11" s="706" t="s">
        <v>600</v>
      </c>
      <c r="G11" s="58" t="s">
        <v>133</v>
      </c>
      <c r="H11" s="58" t="s">
        <v>134</v>
      </c>
      <c r="I11">
        <v>1</v>
      </c>
      <c r="J11" t="str">
        <f t="shared" si="0"/>
        <v>Prefeito</v>
      </c>
    </row>
    <row r="12" spans="7:10" ht="12.75">
      <c r="G12" s="58" t="s">
        <v>135</v>
      </c>
      <c r="H12" s="58" t="s">
        <v>136</v>
      </c>
      <c r="I12">
        <v>1</v>
      </c>
      <c r="J12" t="str">
        <f t="shared" si="0"/>
        <v>Prefeito</v>
      </c>
    </row>
    <row r="13" ht="12.75">
      <c r="B13" s="58"/>
    </row>
    <row r="15" ht="12.75">
      <c r="B15" t="str">
        <f>CONCATENATE(C4,B4)</f>
        <v>PREFEITURA MUNICIPAL DE BOMBINHAS</v>
      </c>
    </row>
    <row r="16" ht="12.75">
      <c r="B16" t="str">
        <f>CONCATENATE(C5,B4)</f>
        <v>MUNICÍPIO: BOMBINHAS</v>
      </c>
    </row>
    <row r="17" ht="12.75">
      <c r="B17" t="str">
        <f>CONCATENATE(C7,B7)</f>
        <v>Engenheiro Civil - CREA SC 008.333-3</v>
      </c>
    </row>
    <row r="18" spans="2:3" ht="12.75">
      <c r="B18" t="str">
        <f>CONCATENATE(A1,B1)</f>
        <v>RUA CANGURU - </v>
      </c>
      <c r="C18" s="58" t="s">
        <v>150</v>
      </c>
    </row>
    <row r="19" spans="2:3" ht="12.75">
      <c r="B19" t="str">
        <f>CONCATENATE(A2,B2)</f>
        <v>BAIRRO JOSÉ AMANDIO</v>
      </c>
      <c r="C19" t="str">
        <f>CONCATENATE(B18,B19)</f>
        <v>RUA CANGURU - BAIRRO JOSÉ AMANDIO</v>
      </c>
    </row>
    <row r="20" ht="12.75">
      <c r="C20" t="str">
        <f>CONCATENATE(C18,C19)</f>
        <v>Localização: RUA CANGURU - BAIRRO JOSÉ AMANDIO</v>
      </c>
    </row>
    <row r="23" ht="12.75">
      <c r="C23" t="s">
        <v>155</v>
      </c>
    </row>
    <row r="24" ht="12.75">
      <c r="C24" t="str">
        <f>B6</f>
        <v>Carlos Alberto Bley</v>
      </c>
    </row>
    <row r="25" ht="12.75">
      <c r="C25" t="str">
        <f>CONCATENATE(C23,C24)</f>
        <v>Nome: Carlos Alberto Bley</v>
      </c>
    </row>
    <row r="27" ht="12.75">
      <c r="C27" t="s">
        <v>156</v>
      </c>
    </row>
    <row r="28" ht="12.75">
      <c r="C28" t="str">
        <f>CONCATENATE(C27,B7)</f>
        <v>Crea: 008.333-3</v>
      </c>
    </row>
    <row r="30" ht="12.75">
      <c r="C30" t="str">
        <f>CONCATENATE(C24,C28)</f>
        <v>Carlos Alberto BleyCrea: 008.333-3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7.57421875" style="252" customWidth="1"/>
    <col min="2" max="2" width="7.7109375" style="340" customWidth="1"/>
    <col min="3" max="3" width="11.140625" style="317" customWidth="1"/>
    <col min="4" max="4" width="13.140625" style="317" bestFit="1" customWidth="1"/>
    <col min="5" max="5" width="11.421875" style="317" customWidth="1"/>
    <col min="6" max="6" width="11.28125" style="317" customWidth="1"/>
    <col min="7" max="7" width="13.140625" style="317" customWidth="1"/>
    <col min="8" max="8" width="11.00390625" style="317" customWidth="1"/>
    <col min="9" max="9" width="13.421875" style="317" customWidth="1"/>
    <col min="10" max="10" width="8.57421875" style="317" customWidth="1"/>
    <col min="11" max="11" width="10.421875" style="317" bestFit="1" customWidth="1"/>
    <col min="12" max="12" width="11.421875" style="317" customWidth="1"/>
    <col min="13" max="13" width="11.28125" style="317" customWidth="1"/>
    <col min="14" max="16384" width="9.140625" style="252" customWidth="1"/>
  </cols>
  <sheetData>
    <row r="1" spans="1:13" ht="18">
      <c r="A1" s="714" t="s">
        <v>59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</row>
    <row r="2" spans="1:13" ht="23.25" customHeight="1" thickBot="1">
      <c r="A2" s="715" t="str">
        <f>'dados de entrada'!B15</f>
        <v>PREFEITURA MUNICIPAL DE BOMBINHAS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</row>
    <row r="3" spans="1:13" ht="21" thickBot="1">
      <c r="A3" s="253" t="s">
        <v>60</v>
      </c>
      <c r="B3" s="254"/>
      <c r="C3" s="716" t="str">
        <f>'dados de entrada'!B8</f>
        <v>PAVIMENTAÇÃO COM LAJOTAS SEXTAVADAS E DRENAGEM PLUVIAL </v>
      </c>
      <c r="D3" s="716"/>
      <c r="E3" s="716"/>
      <c r="F3" s="716"/>
      <c r="G3" s="716"/>
      <c r="H3" s="716"/>
      <c r="I3" s="716"/>
      <c r="J3" s="716"/>
      <c r="K3" s="716"/>
      <c r="L3" s="716"/>
      <c r="M3" s="717"/>
    </row>
    <row r="4" spans="1:13" ht="18.75" thickBot="1">
      <c r="A4" s="253" t="s">
        <v>62</v>
      </c>
      <c r="B4" s="255"/>
      <c r="C4" s="716" t="str">
        <f>'dados de entrada'!C19</f>
        <v>RUA CANGURU - BAIRRO JOSÉ AMANDIO</v>
      </c>
      <c r="D4" s="716"/>
      <c r="E4" s="716"/>
      <c r="F4" s="716"/>
      <c r="G4" s="716"/>
      <c r="H4" s="716"/>
      <c r="I4" s="716"/>
      <c r="J4" s="716"/>
      <c r="K4" s="716"/>
      <c r="L4" s="716"/>
      <c r="M4" s="717"/>
    </row>
    <row r="5" spans="1:16" ht="21" customHeight="1" thickBot="1">
      <c r="A5" s="718" t="s">
        <v>421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P5" s="256" t="s">
        <v>64</v>
      </c>
    </row>
    <row r="6" spans="1:16" ht="14.25" customHeight="1">
      <c r="A6" s="719" t="s">
        <v>65</v>
      </c>
      <c r="B6" s="720"/>
      <c r="C6" s="728" t="s">
        <v>66</v>
      </c>
      <c r="D6" s="729"/>
      <c r="E6" s="257" t="s">
        <v>67</v>
      </c>
      <c r="F6" s="743" t="s">
        <v>68</v>
      </c>
      <c r="G6" s="721" t="s">
        <v>69</v>
      </c>
      <c r="H6" s="728" t="s">
        <v>70</v>
      </c>
      <c r="I6" s="729"/>
      <c r="J6" s="741" t="s">
        <v>71</v>
      </c>
      <c r="K6" s="721" t="s">
        <v>72</v>
      </c>
      <c r="L6" s="728" t="s">
        <v>73</v>
      </c>
      <c r="M6" s="729"/>
      <c r="N6" s="258"/>
      <c r="P6" s="259">
        <v>70</v>
      </c>
    </row>
    <row r="7" spans="1:14" ht="15" customHeight="1" thickBot="1">
      <c r="A7" s="723" t="s">
        <v>74</v>
      </c>
      <c r="B7" s="724"/>
      <c r="C7" s="260" t="s">
        <v>75</v>
      </c>
      <c r="D7" s="261" t="s">
        <v>76</v>
      </c>
      <c r="E7" s="262" t="s">
        <v>77</v>
      </c>
      <c r="F7" s="744"/>
      <c r="G7" s="722"/>
      <c r="H7" s="260" t="s">
        <v>65</v>
      </c>
      <c r="I7" s="261" t="s">
        <v>78</v>
      </c>
      <c r="J7" s="742"/>
      <c r="K7" s="722"/>
      <c r="L7" s="260" t="s">
        <v>79</v>
      </c>
      <c r="M7" s="261" t="s">
        <v>80</v>
      </c>
      <c r="N7" s="258"/>
    </row>
    <row r="8" spans="1:20" s="266" customFormat="1" ht="15" customHeight="1">
      <c r="A8" s="730"/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2"/>
      <c r="N8" s="263"/>
      <c r="O8" s="264"/>
      <c r="P8" s="265" t="s">
        <v>81</v>
      </c>
      <c r="Q8" s="264"/>
      <c r="R8" s="264"/>
      <c r="S8" s="264"/>
      <c r="T8" s="264"/>
    </row>
    <row r="9" spans="1:16" ht="15" customHeight="1">
      <c r="A9" s="267">
        <v>3</v>
      </c>
      <c r="B9" s="268" t="s">
        <v>568</v>
      </c>
      <c r="C9" s="269">
        <v>19.03</v>
      </c>
      <c r="D9" s="270">
        <v>18.92</v>
      </c>
      <c r="E9" s="271">
        <v>24</v>
      </c>
      <c r="F9" s="272">
        <v>45</v>
      </c>
      <c r="G9" s="273">
        <f aca="true" t="shared" si="0" ref="G9:G14">ABS((C9-D9)/E9)</f>
        <v>0.00458333333333331</v>
      </c>
      <c r="H9" s="274">
        <f aca="true" t="shared" si="1" ref="H9:H14">((F9*$P$6)/10000)</f>
        <v>0.315</v>
      </c>
      <c r="I9" s="275">
        <f>H9+0.49</f>
        <v>0.8049999999999999</v>
      </c>
      <c r="J9" s="276">
        <v>0.7</v>
      </c>
      <c r="K9" s="277">
        <f aca="true" t="shared" si="2" ref="K9:K14">(2.78*J9*$P$9*I9)/1000</f>
        <v>0.13302972759999998</v>
      </c>
      <c r="L9" s="277">
        <f aca="true" t="shared" si="3" ref="L9:L14">1.55*(K9*$P$16/(G9^0.5))^0.375</f>
        <v>0.3918047509038737</v>
      </c>
      <c r="M9" s="278">
        <f aca="true" t="shared" si="4" ref="M9:M14">IF(L9&lt;0.4,0.4,IF(AND(L9&gt;0.4,L9&lt;0.6),0.6,0.8))</f>
        <v>0.4</v>
      </c>
      <c r="N9" s="258"/>
      <c r="P9" s="279">
        <v>84.92</v>
      </c>
    </row>
    <row r="10" spans="1:16" ht="15" customHeight="1">
      <c r="A10" s="267" t="str">
        <f>B9</f>
        <v>CL 13</v>
      </c>
      <c r="B10" s="268">
        <v>16</v>
      </c>
      <c r="C10" s="270">
        <f>D9</f>
        <v>18.92</v>
      </c>
      <c r="D10" s="270">
        <v>18.27</v>
      </c>
      <c r="E10" s="271">
        <v>25</v>
      </c>
      <c r="F10" s="272">
        <v>24</v>
      </c>
      <c r="G10" s="273">
        <f t="shared" si="0"/>
        <v>0.026000000000000086</v>
      </c>
      <c r="H10" s="274">
        <f t="shared" si="1"/>
        <v>0.168</v>
      </c>
      <c r="I10" s="275">
        <f>H10+I9</f>
        <v>0.973</v>
      </c>
      <c r="J10" s="276">
        <v>0.7</v>
      </c>
      <c r="K10" s="277">
        <f t="shared" si="2"/>
        <v>0.16079245335999998</v>
      </c>
      <c r="L10" s="277">
        <f t="shared" si="3"/>
        <v>0.3038103574535199</v>
      </c>
      <c r="M10" s="278">
        <f t="shared" si="4"/>
        <v>0.4</v>
      </c>
      <c r="N10" s="258"/>
      <c r="P10" s="279"/>
    </row>
    <row r="11" spans="1:16" ht="15" customHeight="1">
      <c r="A11" s="267">
        <f>B10</f>
        <v>16</v>
      </c>
      <c r="B11" s="268" t="s">
        <v>569</v>
      </c>
      <c r="C11" s="269">
        <f>D10</f>
        <v>18.27</v>
      </c>
      <c r="D11" s="270">
        <v>17.46</v>
      </c>
      <c r="E11" s="271">
        <v>26</v>
      </c>
      <c r="F11" s="272">
        <v>25</v>
      </c>
      <c r="G11" s="273">
        <f t="shared" si="0"/>
        <v>0.031153846153846105</v>
      </c>
      <c r="H11" s="274">
        <f t="shared" si="1"/>
        <v>0.175</v>
      </c>
      <c r="I11" s="275">
        <f>H11+I10</f>
        <v>1.148</v>
      </c>
      <c r="J11" s="276">
        <v>0.7</v>
      </c>
      <c r="K11" s="277">
        <f t="shared" si="2"/>
        <v>0.18971195935999996</v>
      </c>
      <c r="L11" s="277">
        <f t="shared" si="3"/>
        <v>0.3124730259252012</v>
      </c>
      <c r="M11" s="278">
        <f t="shared" si="4"/>
        <v>0.4</v>
      </c>
      <c r="N11" s="258"/>
      <c r="P11" s="279"/>
    </row>
    <row r="12" spans="1:14" ht="15" customHeight="1">
      <c r="A12" s="267" t="str">
        <f>B11</f>
        <v>CL 14</v>
      </c>
      <c r="B12" s="268">
        <v>11</v>
      </c>
      <c r="C12" s="269">
        <f>D11</f>
        <v>17.46</v>
      </c>
      <c r="D12" s="270">
        <v>14.93</v>
      </c>
      <c r="E12" s="271">
        <v>27</v>
      </c>
      <c r="F12" s="272">
        <v>26</v>
      </c>
      <c r="G12" s="273">
        <f t="shared" si="0"/>
        <v>0.09370370370370375</v>
      </c>
      <c r="H12" s="274">
        <f t="shared" si="1"/>
        <v>0.182</v>
      </c>
      <c r="I12" s="275">
        <f>H12+I11</f>
        <v>1.3299999999999998</v>
      </c>
      <c r="J12" s="276">
        <v>0.7</v>
      </c>
      <c r="K12" s="277">
        <f t="shared" si="2"/>
        <v>0.21978824559999996</v>
      </c>
      <c r="L12" s="277">
        <f t="shared" si="3"/>
        <v>0.26860106897909225</v>
      </c>
      <c r="M12" s="278">
        <f t="shared" si="4"/>
        <v>0.4</v>
      </c>
      <c r="N12" s="258"/>
    </row>
    <row r="13" spans="1:16" ht="15" customHeight="1">
      <c r="A13" s="267">
        <f>B12</f>
        <v>11</v>
      </c>
      <c r="B13" s="268" t="s">
        <v>570</v>
      </c>
      <c r="C13" s="269">
        <f>D12</f>
        <v>14.93</v>
      </c>
      <c r="D13" s="270">
        <v>13.71</v>
      </c>
      <c r="E13" s="271">
        <v>33</v>
      </c>
      <c r="F13" s="272">
        <v>27</v>
      </c>
      <c r="G13" s="273">
        <f t="shared" si="0"/>
        <v>0.03696969696969694</v>
      </c>
      <c r="H13" s="274">
        <f t="shared" si="1"/>
        <v>0.189</v>
      </c>
      <c r="I13" s="275">
        <f>H13+I12+0.49</f>
        <v>2.009</v>
      </c>
      <c r="J13" s="276">
        <v>0.7</v>
      </c>
      <c r="K13" s="277">
        <f t="shared" si="2"/>
        <v>0.33199592887999996</v>
      </c>
      <c r="L13" s="277">
        <f t="shared" si="3"/>
        <v>0.37326230624700174</v>
      </c>
      <c r="M13" s="278">
        <f t="shared" si="4"/>
        <v>0.4</v>
      </c>
      <c r="N13" s="258"/>
      <c r="P13" s="280" t="s">
        <v>82</v>
      </c>
    </row>
    <row r="14" spans="1:16" ht="15" customHeight="1">
      <c r="A14" s="267" t="str">
        <f>B13</f>
        <v>CL 15</v>
      </c>
      <c r="B14" s="268">
        <v>17</v>
      </c>
      <c r="C14" s="269">
        <v>13.51</v>
      </c>
      <c r="D14" s="270">
        <v>13.34</v>
      </c>
      <c r="E14" s="271">
        <v>28</v>
      </c>
      <c r="F14" s="272">
        <v>33</v>
      </c>
      <c r="G14" s="273">
        <f t="shared" si="0"/>
        <v>0.006071428571428569</v>
      </c>
      <c r="H14" s="274">
        <f t="shared" si="1"/>
        <v>0.231</v>
      </c>
      <c r="I14" s="275">
        <f>H14+I13+0.49</f>
        <v>2.7299999999999995</v>
      </c>
      <c r="J14" s="276">
        <v>0.7</v>
      </c>
      <c r="K14" s="277">
        <f t="shared" si="2"/>
        <v>0.45114429359999986</v>
      </c>
      <c r="L14" s="277">
        <f t="shared" si="3"/>
        <v>0.5875728418252724</v>
      </c>
      <c r="M14" s="278">
        <f t="shared" si="4"/>
        <v>0.6</v>
      </c>
      <c r="N14" s="258"/>
      <c r="P14" s="280"/>
    </row>
    <row r="15" spans="1:16" ht="15">
      <c r="A15" s="281"/>
      <c r="B15" s="282"/>
      <c r="C15" s="283"/>
      <c r="D15" s="284"/>
      <c r="E15" s="285"/>
      <c r="F15" s="286"/>
      <c r="G15" s="273"/>
      <c r="H15" s="274"/>
      <c r="I15" s="275"/>
      <c r="J15" s="276"/>
      <c r="K15" s="277"/>
      <c r="L15" s="277"/>
      <c r="M15" s="278"/>
      <c r="N15" s="258"/>
      <c r="P15" s="280"/>
    </row>
    <row r="16" spans="1:16" s="264" customFormat="1" ht="15" customHeight="1">
      <c r="A16" s="267"/>
      <c r="B16" s="287"/>
      <c r="C16" s="269"/>
      <c r="D16" s="288"/>
      <c r="E16" s="271"/>
      <c r="F16" s="272"/>
      <c r="G16" s="273"/>
      <c r="H16" s="274"/>
      <c r="I16" s="275"/>
      <c r="J16" s="276"/>
      <c r="K16" s="277"/>
      <c r="L16" s="277"/>
      <c r="M16" s="278"/>
      <c r="N16" s="263"/>
      <c r="P16" s="289">
        <v>0.013</v>
      </c>
    </row>
    <row r="17" spans="1:16" s="264" customFormat="1" ht="15" customHeight="1">
      <c r="A17" s="267"/>
      <c r="B17" s="287"/>
      <c r="C17" s="269"/>
      <c r="D17" s="288"/>
      <c r="E17" s="271"/>
      <c r="F17" s="272"/>
      <c r="G17" s="273"/>
      <c r="H17" s="274"/>
      <c r="I17" s="275"/>
      <c r="J17" s="276"/>
      <c r="K17" s="277"/>
      <c r="L17" s="277"/>
      <c r="M17" s="278"/>
      <c r="N17" s="263"/>
      <c r="P17" s="289"/>
    </row>
    <row r="18" spans="1:14" ht="15" customHeight="1">
      <c r="A18" s="267"/>
      <c r="B18" s="268"/>
      <c r="C18" s="269"/>
      <c r="D18" s="270"/>
      <c r="E18" s="271"/>
      <c r="F18" s="272"/>
      <c r="G18" s="273"/>
      <c r="H18" s="274"/>
      <c r="I18" s="275"/>
      <c r="J18" s="276"/>
      <c r="K18" s="277"/>
      <c r="L18" s="277"/>
      <c r="M18" s="278"/>
      <c r="N18" s="258"/>
    </row>
    <row r="19" spans="1:14" ht="15" customHeight="1">
      <c r="A19" s="267"/>
      <c r="B19" s="268"/>
      <c r="C19" s="269"/>
      <c r="D19" s="270"/>
      <c r="E19" s="271"/>
      <c r="F19" s="272"/>
      <c r="G19" s="273"/>
      <c r="H19" s="274"/>
      <c r="I19" s="275"/>
      <c r="J19" s="276"/>
      <c r="K19" s="277"/>
      <c r="L19" s="277"/>
      <c r="M19" s="278"/>
      <c r="N19" s="258"/>
    </row>
    <row r="20" spans="1:14" ht="15" customHeight="1">
      <c r="A20" s="267"/>
      <c r="B20" s="268"/>
      <c r="C20" s="269"/>
      <c r="D20" s="270"/>
      <c r="E20" s="271"/>
      <c r="F20" s="272"/>
      <c r="G20" s="273"/>
      <c r="H20" s="274"/>
      <c r="I20" s="275"/>
      <c r="J20" s="276"/>
      <c r="K20" s="277"/>
      <c r="L20" s="277"/>
      <c r="M20" s="278"/>
      <c r="N20" s="258"/>
    </row>
    <row r="21" spans="1:14" ht="15" customHeight="1">
      <c r="A21" s="290"/>
      <c r="B21" s="268"/>
      <c r="C21" s="269"/>
      <c r="D21" s="270"/>
      <c r="E21" s="271"/>
      <c r="F21" s="272"/>
      <c r="G21" s="273"/>
      <c r="H21" s="274"/>
      <c r="I21" s="275"/>
      <c r="J21" s="276"/>
      <c r="K21" s="277"/>
      <c r="L21" s="277"/>
      <c r="M21" s="278"/>
      <c r="N21" s="258"/>
    </row>
    <row r="22" spans="1:14" ht="15" customHeight="1">
      <c r="A22" s="290"/>
      <c r="B22" s="268"/>
      <c r="C22" s="269"/>
      <c r="D22" s="270"/>
      <c r="E22" s="271"/>
      <c r="F22" s="272"/>
      <c r="G22" s="273"/>
      <c r="H22" s="274"/>
      <c r="I22" s="275"/>
      <c r="J22" s="276"/>
      <c r="K22" s="277"/>
      <c r="L22" s="277"/>
      <c r="M22" s="278"/>
      <c r="N22" s="258"/>
    </row>
    <row r="23" spans="1:14" s="264" customFormat="1" ht="15" customHeight="1" thickBot="1">
      <c r="A23" s="291"/>
      <c r="B23" s="268"/>
      <c r="C23" s="292"/>
      <c r="D23" s="288"/>
      <c r="E23" s="293"/>
      <c r="F23" s="294"/>
      <c r="G23" s="273"/>
      <c r="H23" s="295"/>
      <c r="I23" s="275"/>
      <c r="J23" s="276"/>
      <c r="K23" s="277"/>
      <c r="L23" s="277"/>
      <c r="M23" s="278"/>
      <c r="N23" s="263"/>
    </row>
    <row r="24" spans="1:14" s="264" customFormat="1" ht="15" customHeight="1">
      <c r="A24" s="733" t="s">
        <v>262</v>
      </c>
      <c r="B24" s="734"/>
      <c r="C24" s="734"/>
      <c r="D24" s="734"/>
      <c r="E24" s="735"/>
      <c r="F24" s="296" t="s">
        <v>422</v>
      </c>
      <c r="G24" s="297"/>
      <c r="H24" s="298"/>
      <c r="I24" s="299" t="s">
        <v>85</v>
      </c>
      <c r="J24" s="300"/>
      <c r="K24" s="300"/>
      <c r="L24" s="300"/>
      <c r="M24" s="301"/>
      <c r="N24" s="263"/>
    </row>
    <row r="25" spans="1:14" s="264" customFormat="1" ht="15" customHeight="1">
      <c r="A25" s="302"/>
      <c r="B25" s="303"/>
      <c r="C25" s="304"/>
      <c r="D25" s="305"/>
      <c r="E25" s="306"/>
      <c r="F25" s="307"/>
      <c r="G25" s="308"/>
      <c r="H25" s="309"/>
      <c r="I25" s="310"/>
      <c r="J25" s="311"/>
      <c r="K25" s="312"/>
      <c r="L25" s="748"/>
      <c r="M25" s="749"/>
      <c r="N25" s="263"/>
    </row>
    <row r="26" spans="1:13" ht="15">
      <c r="A26" s="313"/>
      <c r="B26" s="314"/>
      <c r="C26" s="315"/>
      <c r="D26" s="316"/>
      <c r="F26" s="318"/>
      <c r="G26" s="319"/>
      <c r="I26" s="320"/>
      <c r="J26" s="321"/>
      <c r="K26" s="322"/>
      <c r="L26" s="739"/>
      <c r="M26" s="740"/>
    </row>
    <row r="27" spans="1:13" ht="13.5" thickBot="1">
      <c r="A27" s="323"/>
      <c r="B27" s="324"/>
      <c r="C27" s="325"/>
      <c r="D27" s="326"/>
      <c r="E27" s="327"/>
      <c r="F27" s="328"/>
      <c r="G27" s="329"/>
      <c r="H27" s="327"/>
      <c r="I27" s="327"/>
      <c r="J27" s="330"/>
      <c r="K27" s="331"/>
      <c r="L27" s="332"/>
      <c r="M27" s="333"/>
    </row>
    <row r="28" spans="1:13" ht="15">
      <c r="A28" s="334"/>
      <c r="B28" s="335"/>
      <c r="C28" s="336"/>
      <c r="D28" s="336"/>
      <c r="E28" s="336"/>
      <c r="F28" s="336"/>
      <c r="G28" s="336"/>
      <c r="H28" s="336"/>
      <c r="I28" s="337"/>
      <c r="J28" s="338" t="s">
        <v>83</v>
      </c>
      <c r="K28" s="336"/>
      <c r="L28" s="336"/>
      <c r="M28" s="337"/>
    </row>
    <row r="29" spans="1:13" ht="15">
      <c r="A29" s="339"/>
      <c r="I29" s="341"/>
      <c r="J29" s="342"/>
      <c r="M29" s="341"/>
    </row>
    <row r="30" spans="1:13" ht="15">
      <c r="A30" s="339"/>
      <c r="I30" s="341"/>
      <c r="J30" s="745" t="s">
        <v>20</v>
      </c>
      <c r="K30" s="746"/>
      <c r="L30" s="746"/>
      <c r="M30" s="747"/>
    </row>
    <row r="31" spans="1:13" ht="15.75">
      <c r="A31" s="339"/>
      <c r="H31" s="343"/>
      <c r="I31" s="344"/>
      <c r="J31" s="736" t="str">
        <f>'dados de entrada'!B6</f>
        <v>Carlos Alberto Bley</v>
      </c>
      <c r="K31" s="737"/>
      <c r="L31" s="737"/>
      <c r="M31" s="738"/>
    </row>
    <row r="32" spans="1:13" ht="15.75" thickBot="1">
      <c r="A32" s="345"/>
      <c r="B32" s="346"/>
      <c r="C32" s="347"/>
      <c r="D32" s="327"/>
      <c r="E32" s="347"/>
      <c r="F32" s="348"/>
      <c r="G32" s="349"/>
      <c r="H32" s="350"/>
      <c r="I32" s="351"/>
      <c r="J32" s="725" t="str">
        <f>'dados de entrada'!B17</f>
        <v>Engenheiro Civil - CREA SC 008.333-3</v>
      </c>
      <c r="K32" s="726"/>
      <c r="L32" s="726"/>
      <c r="M32" s="727"/>
    </row>
    <row r="33" spans="1:14" s="264" customFormat="1" ht="15" customHeight="1">
      <c r="A33" s="252"/>
      <c r="B33" s="340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263"/>
    </row>
    <row r="34" spans="1:14" s="264" customFormat="1" ht="15" customHeight="1">
      <c r="A34" s="252"/>
      <c r="B34" s="340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263"/>
    </row>
    <row r="35" spans="1:14" s="264" customFormat="1" ht="15">
      <c r="A35" s="252"/>
      <c r="B35" s="340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263"/>
    </row>
  </sheetData>
  <sheetProtection/>
  <mergeCells count="21">
    <mergeCell ref="J30:M30"/>
    <mergeCell ref="H6:I6"/>
    <mergeCell ref="L25:M25"/>
    <mergeCell ref="J32:M32"/>
    <mergeCell ref="K6:K7"/>
    <mergeCell ref="L6:M6"/>
    <mergeCell ref="A8:M8"/>
    <mergeCell ref="A24:E24"/>
    <mergeCell ref="J31:M31"/>
    <mergeCell ref="C6:D6"/>
    <mergeCell ref="L26:M26"/>
    <mergeCell ref="J6:J7"/>
    <mergeCell ref="F6:F7"/>
    <mergeCell ref="A1:M1"/>
    <mergeCell ref="A2:M2"/>
    <mergeCell ref="C3:M3"/>
    <mergeCell ref="A5:M5"/>
    <mergeCell ref="C4:M4"/>
    <mergeCell ref="A6:B6"/>
    <mergeCell ref="G6:G7"/>
    <mergeCell ref="A7:B7"/>
  </mergeCells>
  <printOptions horizontalCentered="1"/>
  <pageMargins left="0.7874015748031497" right="0.4724409448818898" top="0.7874015748031497" bottom="0" header="0.1968503937007874" footer="0.2362204724409449"/>
  <pageSetup fitToHeight="1" fitToWidth="1" horizontalDpi="600" verticalDpi="600" orientation="landscape" paperSize="9" scale="95" r:id="rId33"/>
  <drawing r:id="rId32"/>
  <legacyDrawing r:id="rId31"/>
  <oleObjects>
    <oleObject progId="Equation.3" shapeId="17798425" r:id="rId1"/>
    <oleObject progId="Equation.3" shapeId="17798426" r:id="rId2"/>
    <oleObject progId="Equation.3" shapeId="17798427" r:id="rId3"/>
    <oleObject progId="Equation.3" shapeId="17798428" r:id="rId4"/>
    <oleObject progId="Equation.3" shapeId="17798429" r:id="rId5"/>
    <oleObject progId="Equation.3" shapeId="17798430" r:id="rId6"/>
    <oleObject progId="Equation.3" shapeId="17798431" r:id="rId7"/>
    <oleObject progId="Equation.3" shapeId="17798432" r:id="rId8"/>
    <oleObject progId="Equation.3" shapeId="17798433" r:id="rId9"/>
    <oleObject progId="Equation.3" shapeId="17798434" r:id="rId10"/>
    <oleObject progId="Equation.3" shapeId="17798435" r:id="rId11"/>
    <oleObject progId="Equation.3" shapeId="17798436" r:id="rId12"/>
    <oleObject progId="Equation.3" shapeId="17798437" r:id="rId13"/>
    <oleObject progId="Equation.3" shapeId="17798438" r:id="rId14"/>
    <oleObject progId="Equation.3" shapeId="17798439" r:id="rId15"/>
    <oleObject progId="Equation.3" shapeId="17798440" r:id="rId16"/>
    <oleObject progId="Equation.3" shapeId="17798441" r:id="rId17"/>
    <oleObject progId="Equation.3" shapeId="17798442" r:id="rId18"/>
    <oleObject progId="Equation.3" shapeId="17798443" r:id="rId19"/>
    <oleObject progId="Equation.3" shapeId="17798444" r:id="rId20"/>
    <oleObject progId="Equation.3" shapeId="17798445" r:id="rId21"/>
    <oleObject progId="Equation.3" shapeId="17798446" r:id="rId22"/>
    <oleObject progId="Equation.3" shapeId="17798447" r:id="rId23"/>
    <oleObject progId="Equation.3" shapeId="17798448" r:id="rId24"/>
    <oleObject progId="Equation.3" shapeId="17798449" r:id="rId25"/>
    <oleObject progId="Equation.3" shapeId="17798450" r:id="rId26"/>
    <oleObject progId="Equation.3" shapeId="17798451" r:id="rId27"/>
    <oleObject progId="Equation.3" shapeId="17798452" r:id="rId28"/>
    <oleObject progId="Equation.3" shapeId="17798453" r:id="rId29"/>
    <oleObject progId="Equation.3" shapeId="17798454" r:id="rId3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Y71"/>
  <sheetViews>
    <sheetView zoomScale="85" zoomScaleNormal="85" workbookViewId="0" topLeftCell="A2">
      <selection activeCell="I21" sqref="I21:L22"/>
    </sheetView>
  </sheetViews>
  <sheetFormatPr defaultColWidth="9.140625" defaultRowHeight="12.75"/>
  <cols>
    <col min="1" max="1" width="7.57421875" style="23" customWidth="1"/>
    <col min="2" max="2" width="6.421875" style="23" bestFit="1" customWidth="1"/>
    <col min="3" max="3" width="5.8515625" style="23" customWidth="1"/>
    <col min="4" max="4" width="11.421875" style="23" bestFit="1" customWidth="1"/>
    <col min="5" max="5" width="8.8515625" style="23" bestFit="1" customWidth="1"/>
    <col min="6" max="6" width="11.28125" style="23" bestFit="1" customWidth="1"/>
    <col min="7" max="7" width="9.28125" style="23" bestFit="1" customWidth="1"/>
    <col min="8" max="8" width="9.140625" style="23" bestFit="1" customWidth="1"/>
    <col min="9" max="9" width="10.57421875" style="23" bestFit="1" customWidth="1"/>
    <col min="10" max="10" width="11.140625" style="23" bestFit="1" customWidth="1"/>
    <col min="11" max="11" width="7.00390625" style="23" bestFit="1" customWidth="1"/>
    <col min="12" max="12" width="13.57421875" style="23" customWidth="1"/>
    <col min="13" max="13" width="9.57421875" style="23" bestFit="1" customWidth="1"/>
    <col min="14" max="14" width="14.57421875" style="23" bestFit="1" customWidth="1"/>
    <col min="15" max="15" width="16.140625" style="23" bestFit="1" customWidth="1"/>
    <col min="16" max="16" width="10.421875" style="23" bestFit="1" customWidth="1"/>
    <col min="17" max="17" width="15.421875" style="23" bestFit="1" customWidth="1"/>
    <col min="18" max="18" width="14.140625" style="23" bestFit="1" customWidth="1"/>
    <col min="19" max="19" width="14.140625" style="23" customWidth="1"/>
    <col min="20" max="22" width="9.140625" style="23" customWidth="1"/>
    <col min="23" max="23" width="10.00390625" style="23" bestFit="1" customWidth="1"/>
    <col min="24" max="24" width="24.421875" style="23" customWidth="1"/>
    <col min="25" max="25" width="17.00390625" style="23" customWidth="1"/>
    <col min="26" max="16384" width="9.140625" style="23" customWidth="1"/>
  </cols>
  <sheetData>
    <row r="1" spans="1:19" ht="18">
      <c r="A1" s="750" t="s">
        <v>59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</row>
    <row r="2" spans="1:19" ht="27" thickBot="1">
      <c r="A2" s="780" t="str">
        <f>'dados de entrada'!B15</f>
        <v>PREFEITURA MUNICIPAL DE BOMBINHAS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</row>
    <row r="3" spans="1:19" ht="21" thickBot="1">
      <c r="A3" s="24" t="s">
        <v>60</v>
      </c>
      <c r="B3" s="25"/>
      <c r="C3" s="25"/>
      <c r="D3" s="789" t="str">
        <f>'dados de entrada'!B8</f>
        <v>PAVIMENTAÇÃO COM LAJOTAS SEXTAVADAS E DRENAGEM PLUVIAL </v>
      </c>
      <c r="E3" s="789"/>
      <c r="F3" s="789"/>
      <c r="G3" s="789"/>
      <c r="H3" s="789"/>
      <c r="I3" s="789"/>
      <c r="J3" s="789"/>
      <c r="K3" s="789"/>
      <c r="L3" s="790"/>
      <c r="M3" s="787" t="s">
        <v>61</v>
      </c>
      <c r="N3" s="788"/>
      <c r="O3" s="124">
        <f>'dados de entrada'!B3</f>
        <v>41671</v>
      </c>
      <c r="P3" s="755"/>
      <c r="Q3" s="756"/>
      <c r="R3" s="756"/>
      <c r="S3" s="757"/>
    </row>
    <row r="4" spans="1:19" ht="18.75" thickBot="1">
      <c r="A4" s="24" t="s">
        <v>62</v>
      </c>
      <c r="B4" s="26"/>
      <c r="C4" s="26"/>
      <c r="D4" s="789" t="str">
        <f>'dados de entrada'!C19</f>
        <v>RUA CANGURU - BAIRRO JOSÉ AMANDIO</v>
      </c>
      <c r="E4" s="789"/>
      <c r="F4" s="789"/>
      <c r="G4" s="789"/>
      <c r="H4" s="789"/>
      <c r="I4" s="789"/>
      <c r="J4" s="789"/>
      <c r="K4" s="789"/>
      <c r="L4" s="790"/>
      <c r="M4" s="752" t="s">
        <v>63</v>
      </c>
      <c r="N4" s="753"/>
      <c r="O4" s="753"/>
      <c r="P4" s="753"/>
      <c r="Q4" s="753"/>
      <c r="R4" s="753"/>
      <c r="S4" s="754"/>
    </row>
    <row r="5" spans="1:19" ht="20.25">
      <c r="A5" s="751" t="s">
        <v>142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</row>
    <row r="6" spans="1:18" ht="21" thickBot="1">
      <c r="A6" s="792" t="s">
        <v>86</v>
      </c>
      <c r="B6" s="792"/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</row>
    <row r="7" spans="1:18" s="38" customFormat="1" ht="45.75" thickBot="1">
      <c r="A7" s="27"/>
      <c r="B7" s="27"/>
      <c r="C7" s="27"/>
      <c r="D7" s="28"/>
      <c r="E7" s="28"/>
      <c r="F7" s="29" t="s">
        <v>87</v>
      </c>
      <c r="G7" s="28"/>
      <c r="H7" s="30" t="s">
        <v>88</v>
      </c>
      <c r="I7" s="31"/>
      <c r="J7" s="32" t="s">
        <v>89</v>
      </c>
      <c r="K7" s="33"/>
      <c r="L7" s="34" t="s">
        <v>90</v>
      </c>
      <c r="M7" s="35" t="s">
        <v>91</v>
      </c>
      <c r="N7" s="36" t="s">
        <v>103</v>
      </c>
      <c r="O7" s="28"/>
      <c r="P7" s="28"/>
      <c r="Q7" s="30" t="s">
        <v>104</v>
      </c>
      <c r="R7" s="37" t="s">
        <v>92</v>
      </c>
    </row>
    <row r="8" spans="1:18" s="38" customFormat="1" ht="15.75" thickBot="1">
      <c r="A8" s="39"/>
      <c r="B8" s="39"/>
      <c r="C8" s="39"/>
      <c r="D8" s="40"/>
      <c r="E8" s="40"/>
      <c r="F8" s="411">
        <v>58</v>
      </c>
      <c r="G8" s="40"/>
      <c r="H8" s="41">
        <v>0.3</v>
      </c>
      <c r="I8" s="42"/>
      <c r="J8" s="43">
        <v>1.2</v>
      </c>
      <c r="K8" s="44"/>
      <c r="L8" s="45">
        <v>0.39</v>
      </c>
      <c r="M8" s="46">
        <v>0.6</v>
      </c>
      <c r="N8" s="47">
        <f>M8*F8*J8</f>
        <v>41.76</v>
      </c>
      <c r="O8" s="40"/>
      <c r="P8" s="40"/>
      <c r="Q8" s="48">
        <f>(((PI()*(L8^2))/4))*F8</f>
        <v>6.928625517859611</v>
      </c>
      <c r="R8" s="43">
        <f>N8-(Q8)</f>
        <v>34.83137448214039</v>
      </c>
    </row>
    <row r="9" spans="1:18" ht="21" thickBot="1">
      <c r="A9" s="792" t="s">
        <v>93</v>
      </c>
      <c r="B9" s="792"/>
      <c r="C9" s="792"/>
      <c r="D9" s="792"/>
      <c r="E9" s="792"/>
      <c r="F9" s="792"/>
      <c r="G9" s="792"/>
      <c r="H9" s="792"/>
      <c r="I9" s="792"/>
      <c r="J9" s="792"/>
      <c r="K9" s="792"/>
      <c r="L9" s="792"/>
      <c r="M9" s="792"/>
      <c r="N9" s="792"/>
      <c r="O9" s="792"/>
      <c r="P9" s="792"/>
      <c r="Q9" s="792"/>
      <c r="R9" s="792"/>
    </row>
    <row r="10" spans="1:23" s="49" customFormat="1" ht="60.75" thickBot="1">
      <c r="A10" s="793" t="s">
        <v>94</v>
      </c>
      <c r="B10" s="794"/>
      <c r="C10" s="65" t="s">
        <v>251</v>
      </c>
      <c r="D10" s="65" t="s">
        <v>105</v>
      </c>
      <c r="E10" s="65" t="s">
        <v>106</v>
      </c>
      <c r="F10" s="65" t="s">
        <v>95</v>
      </c>
      <c r="G10" s="65" t="s">
        <v>96</v>
      </c>
      <c r="H10" s="65" t="s">
        <v>88</v>
      </c>
      <c r="I10" s="65" t="s">
        <v>161</v>
      </c>
      <c r="J10" s="65" t="s">
        <v>107</v>
      </c>
      <c r="K10" s="65" t="s">
        <v>97</v>
      </c>
      <c r="L10" s="65" t="s">
        <v>90</v>
      </c>
      <c r="M10" s="65" t="s">
        <v>91</v>
      </c>
      <c r="N10" s="65" t="s">
        <v>108</v>
      </c>
      <c r="O10" s="65" t="s">
        <v>144</v>
      </c>
      <c r="P10" s="65" t="s">
        <v>98</v>
      </c>
      <c r="Q10" s="65" t="s">
        <v>104</v>
      </c>
      <c r="R10" s="37" t="s">
        <v>109</v>
      </c>
      <c r="S10" s="66" t="s">
        <v>160</v>
      </c>
      <c r="T10" s="178"/>
      <c r="U10" s="179"/>
      <c r="V10" s="179"/>
      <c r="W10" s="180"/>
    </row>
    <row r="11" spans="1:23" s="50" customFormat="1" ht="15">
      <c r="A11" s="143">
        <f>Drenagem!A9</f>
        <v>3</v>
      </c>
      <c r="B11" s="142" t="str">
        <f>Drenagem!B9</f>
        <v>CL 13</v>
      </c>
      <c r="C11" s="138"/>
      <c r="D11" s="68">
        <v>1.03</v>
      </c>
      <c r="E11" s="68">
        <v>1</v>
      </c>
      <c r="F11" s="68">
        <f>Drenagem!E9</f>
        <v>24</v>
      </c>
      <c r="G11" s="68">
        <v>1</v>
      </c>
      <c r="H11" s="68">
        <f>Drenagem!M9</f>
        <v>0.4</v>
      </c>
      <c r="I11" s="68">
        <f aca="true" t="shared" si="0" ref="I11:I16">G11*F11</f>
        <v>24</v>
      </c>
      <c r="J11" s="68">
        <f aca="true" t="shared" si="1" ref="J11:J16">AVERAGE(D11:E11)</f>
        <v>1.0150000000000001</v>
      </c>
      <c r="K11" s="68">
        <f aca="true" t="shared" si="2" ref="K11:K16">IF(H11=0.4,0.2,IF(H11=0.6,0.35,IF(H11=0.8,0.4,IF(H11=1,0.45,IF(H11=1.2,0.5,IF(H11=1.5,0.6))))))</f>
        <v>0.2</v>
      </c>
      <c r="L11" s="112">
        <f aca="true" t="shared" si="3" ref="L11:L16">IF(H11=0.4,0.49,IF(H11=0.6,0.72,IF(H11=0.8,0.95,IF(H11=1,1.16,IF(H11=1.2,1.4,IF(H11=1.5,1.7))))))</f>
        <v>0.49</v>
      </c>
      <c r="M11" s="68">
        <f aca="true" t="shared" si="4" ref="M11:M16">IF(G11=1,(L11*G11)+(K11*2),((L11*G11)+(K11*2)+0.3))</f>
        <v>0.89</v>
      </c>
      <c r="N11" s="68">
        <f aca="true" t="shared" si="5" ref="N11:N16">IF(J11&lt;=1.5,F11*J11*M11,F11*1.5*M11)</f>
        <v>21.680400000000002</v>
      </c>
      <c r="O11" s="131" t="str">
        <f aca="true" t="shared" si="6" ref="O11:O16">IF(J11&gt;1.5,((J11-1.5)*M11*F11),"0")</f>
        <v>0</v>
      </c>
      <c r="P11" s="68">
        <f aca="true" t="shared" si="7" ref="P11:P16">0.06*0.6*I11</f>
        <v>0.8639999999999999</v>
      </c>
      <c r="Q11" s="68">
        <f aca="true" t="shared" si="8" ref="Q11:Q16">(((PI()*(L11^2))/4)*G11)*F11</f>
        <v>4.525778376761456</v>
      </c>
      <c r="R11" s="68">
        <f aca="true" t="shared" si="9" ref="R11:R16">(N11+O11)-(P11+Q11)</f>
        <v>16.290621623238547</v>
      </c>
      <c r="S11" s="113">
        <f aca="true" t="shared" si="10" ref="S11:S16">IF(J11&lt;=1.5,0,(F11*2)*J11)</f>
        <v>0</v>
      </c>
      <c r="T11" s="181"/>
      <c r="U11" s="181"/>
      <c r="V11" s="181"/>
      <c r="W11" s="182"/>
    </row>
    <row r="12" spans="1:23" s="50" customFormat="1" ht="15">
      <c r="A12" s="115" t="str">
        <f>Drenagem!A10</f>
        <v>CL 13</v>
      </c>
      <c r="B12" s="111">
        <f>Drenagem!B10</f>
        <v>16</v>
      </c>
      <c r="C12" s="139"/>
      <c r="D12" s="64">
        <f>E11</f>
        <v>1</v>
      </c>
      <c r="E12" s="64">
        <v>1.01</v>
      </c>
      <c r="F12" s="64">
        <f>Drenagem!E10</f>
        <v>25</v>
      </c>
      <c r="G12" s="64">
        <v>1</v>
      </c>
      <c r="H12" s="64">
        <f>Drenagem!M10</f>
        <v>0.4</v>
      </c>
      <c r="I12" s="64">
        <f t="shared" si="0"/>
        <v>25</v>
      </c>
      <c r="J12" s="64">
        <f t="shared" si="1"/>
        <v>1.005</v>
      </c>
      <c r="K12" s="64">
        <f t="shared" si="2"/>
        <v>0.2</v>
      </c>
      <c r="L12" s="67">
        <f t="shared" si="3"/>
        <v>0.49</v>
      </c>
      <c r="M12" s="64">
        <f t="shared" si="4"/>
        <v>0.89</v>
      </c>
      <c r="N12" s="64">
        <f t="shared" si="5"/>
        <v>22.36125</v>
      </c>
      <c r="O12" s="130" t="str">
        <f t="shared" si="6"/>
        <v>0</v>
      </c>
      <c r="P12" s="64">
        <f t="shared" si="7"/>
        <v>0.8999999999999999</v>
      </c>
      <c r="Q12" s="64">
        <f t="shared" si="8"/>
        <v>4.7143524757931825</v>
      </c>
      <c r="R12" s="64">
        <f t="shared" si="9"/>
        <v>16.746897524206815</v>
      </c>
      <c r="S12" s="114">
        <f t="shared" si="10"/>
        <v>0</v>
      </c>
      <c r="T12" s="181"/>
      <c r="U12" s="181"/>
      <c r="V12" s="181"/>
      <c r="W12" s="182"/>
    </row>
    <row r="13" spans="1:23" s="50" customFormat="1" ht="15">
      <c r="A13" s="115">
        <f>Drenagem!A11</f>
        <v>16</v>
      </c>
      <c r="B13" s="111" t="str">
        <f>Drenagem!B11</f>
        <v>CL 14</v>
      </c>
      <c r="C13" s="139"/>
      <c r="D13" s="64">
        <f>E12</f>
        <v>1.01</v>
      </c>
      <c r="E13" s="64">
        <v>1</v>
      </c>
      <c r="F13" s="64">
        <f>Drenagem!E11</f>
        <v>26</v>
      </c>
      <c r="G13" s="64">
        <v>1</v>
      </c>
      <c r="H13" s="64">
        <f>Drenagem!M11</f>
        <v>0.4</v>
      </c>
      <c r="I13" s="64">
        <f t="shared" si="0"/>
        <v>26</v>
      </c>
      <c r="J13" s="64">
        <f t="shared" si="1"/>
        <v>1.005</v>
      </c>
      <c r="K13" s="64">
        <f t="shared" si="2"/>
        <v>0.2</v>
      </c>
      <c r="L13" s="67">
        <f t="shared" si="3"/>
        <v>0.49</v>
      </c>
      <c r="M13" s="64">
        <f t="shared" si="4"/>
        <v>0.89</v>
      </c>
      <c r="N13" s="64">
        <f t="shared" si="5"/>
        <v>23.255699999999997</v>
      </c>
      <c r="O13" s="130" t="str">
        <f t="shared" si="6"/>
        <v>0</v>
      </c>
      <c r="P13" s="64">
        <f t="shared" si="7"/>
        <v>0.9359999999999999</v>
      </c>
      <c r="Q13" s="64">
        <f t="shared" si="8"/>
        <v>4.90292657482491</v>
      </c>
      <c r="R13" s="64">
        <f t="shared" si="9"/>
        <v>17.416773425175087</v>
      </c>
      <c r="S13" s="114">
        <f t="shared" si="10"/>
        <v>0</v>
      </c>
      <c r="T13" s="181"/>
      <c r="U13" s="181"/>
      <c r="V13" s="181"/>
      <c r="W13" s="182"/>
    </row>
    <row r="14" spans="1:23" s="50" customFormat="1" ht="15">
      <c r="A14" s="115" t="str">
        <f>Drenagem!A12</f>
        <v>CL 14</v>
      </c>
      <c r="B14" s="111">
        <f>Drenagem!B12</f>
        <v>11</v>
      </c>
      <c r="C14" s="139"/>
      <c r="D14" s="64">
        <f>E13</f>
        <v>1</v>
      </c>
      <c r="E14" s="64">
        <v>1.14</v>
      </c>
      <c r="F14" s="64">
        <f>Drenagem!E12</f>
        <v>27</v>
      </c>
      <c r="G14" s="64">
        <v>1</v>
      </c>
      <c r="H14" s="64">
        <f>Drenagem!M12</f>
        <v>0.4</v>
      </c>
      <c r="I14" s="64">
        <f t="shared" si="0"/>
        <v>27</v>
      </c>
      <c r="J14" s="64">
        <f t="shared" si="1"/>
        <v>1.0699999999999998</v>
      </c>
      <c r="K14" s="64">
        <f t="shared" si="2"/>
        <v>0.2</v>
      </c>
      <c r="L14" s="67">
        <f t="shared" si="3"/>
        <v>0.49</v>
      </c>
      <c r="M14" s="64">
        <f t="shared" si="4"/>
        <v>0.89</v>
      </c>
      <c r="N14" s="64">
        <f t="shared" si="5"/>
        <v>25.712099999999996</v>
      </c>
      <c r="O14" s="130" t="str">
        <f t="shared" si="6"/>
        <v>0</v>
      </c>
      <c r="P14" s="64">
        <f t="shared" si="7"/>
        <v>0.972</v>
      </c>
      <c r="Q14" s="64">
        <f t="shared" si="8"/>
        <v>5.091500673856637</v>
      </c>
      <c r="R14" s="64">
        <f t="shared" si="9"/>
        <v>19.64859932614336</v>
      </c>
      <c r="S14" s="114">
        <f t="shared" si="10"/>
        <v>0</v>
      </c>
      <c r="T14" s="181"/>
      <c r="U14" s="181"/>
      <c r="V14" s="181"/>
      <c r="W14" s="182"/>
    </row>
    <row r="15" spans="1:23" s="50" customFormat="1" ht="15">
      <c r="A15" s="115">
        <f>Drenagem!A13</f>
        <v>11</v>
      </c>
      <c r="B15" s="111" t="str">
        <f>Drenagem!B13</f>
        <v>CL 15</v>
      </c>
      <c r="C15" s="139"/>
      <c r="D15" s="64">
        <f>E14</f>
        <v>1.14</v>
      </c>
      <c r="E15" s="64">
        <v>1</v>
      </c>
      <c r="F15" s="64">
        <f>Drenagem!E13</f>
        <v>33</v>
      </c>
      <c r="G15" s="64">
        <v>1</v>
      </c>
      <c r="H15" s="64">
        <f>Drenagem!M13</f>
        <v>0.4</v>
      </c>
      <c r="I15" s="64">
        <f t="shared" si="0"/>
        <v>33</v>
      </c>
      <c r="J15" s="64">
        <f t="shared" si="1"/>
        <v>1.0699999999999998</v>
      </c>
      <c r="K15" s="64">
        <f t="shared" si="2"/>
        <v>0.2</v>
      </c>
      <c r="L15" s="67">
        <f t="shared" si="3"/>
        <v>0.49</v>
      </c>
      <c r="M15" s="64">
        <f t="shared" si="4"/>
        <v>0.89</v>
      </c>
      <c r="N15" s="64">
        <f t="shared" si="5"/>
        <v>31.425899999999995</v>
      </c>
      <c r="O15" s="130" t="str">
        <f t="shared" si="6"/>
        <v>0</v>
      </c>
      <c r="P15" s="64">
        <f t="shared" si="7"/>
        <v>1.188</v>
      </c>
      <c r="Q15" s="64">
        <f t="shared" si="8"/>
        <v>6.222945268047002</v>
      </c>
      <c r="R15" s="64">
        <f t="shared" si="9"/>
        <v>24.014954731952994</v>
      </c>
      <c r="S15" s="114">
        <f t="shared" si="10"/>
        <v>0</v>
      </c>
      <c r="T15" s="181"/>
      <c r="U15" s="181"/>
      <c r="V15" s="181"/>
      <c r="W15" s="182"/>
    </row>
    <row r="16" spans="1:23" s="50" customFormat="1" ht="15">
      <c r="A16" s="115" t="str">
        <f>Drenagem!A14</f>
        <v>CL 15</v>
      </c>
      <c r="B16" s="111">
        <f>Drenagem!B14</f>
        <v>17</v>
      </c>
      <c r="C16" s="139"/>
      <c r="D16" s="64">
        <v>1.2</v>
      </c>
      <c r="E16" s="64">
        <v>1.37</v>
      </c>
      <c r="F16" s="64">
        <f>Drenagem!E14</f>
        <v>28</v>
      </c>
      <c r="G16" s="64">
        <v>1</v>
      </c>
      <c r="H16" s="64">
        <f>Drenagem!M14</f>
        <v>0.6</v>
      </c>
      <c r="I16" s="64">
        <f t="shared" si="0"/>
        <v>28</v>
      </c>
      <c r="J16" s="64">
        <f t="shared" si="1"/>
        <v>1.2850000000000001</v>
      </c>
      <c r="K16" s="64">
        <f t="shared" si="2"/>
        <v>0.35</v>
      </c>
      <c r="L16" s="67">
        <f t="shared" si="3"/>
        <v>0.72</v>
      </c>
      <c r="M16" s="64">
        <f t="shared" si="4"/>
        <v>1.42</v>
      </c>
      <c r="N16" s="64">
        <f t="shared" si="5"/>
        <v>51.0916</v>
      </c>
      <c r="O16" s="130" t="str">
        <f t="shared" si="6"/>
        <v>0</v>
      </c>
      <c r="P16" s="64">
        <f t="shared" si="7"/>
        <v>1.008</v>
      </c>
      <c r="Q16" s="64">
        <f t="shared" si="8"/>
        <v>11.40021142134664</v>
      </c>
      <c r="R16" s="64">
        <f t="shared" si="9"/>
        <v>38.683388578653364</v>
      </c>
      <c r="S16" s="114">
        <f t="shared" si="10"/>
        <v>0</v>
      </c>
      <c r="T16" s="181"/>
      <c r="U16" s="181"/>
      <c r="V16" s="181"/>
      <c r="W16" s="182"/>
    </row>
    <row r="17" spans="1:23" s="50" customFormat="1" ht="15">
      <c r="A17" s="115"/>
      <c r="B17" s="111"/>
      <c r="C17" s="139"/>
      <c r="D17" s="64"/>
      <c r="E17" s="64"/>
      <c r="F17" s="64"/>
      <c r="G17" s="64"/>
      <c r="H17" s="64"/>
      <c r="I17" s="64"/>
      <c r="J17" s="64"/>
      <c r="K17" s="64"/>
      <c r="L17" s="67"/>
      <c r="M17" s="64"/>
      <c r="N17" s="64"/>
      <c r="O17" s="130"/>
      <c r="P17" s="64"/>
      <c r="Q17" s="64"/>
      <c r="R17" s="64"/>
      <c r="S17" s="114"/>
      <c r="T17" s="181"/>
      <c r="U17" s="181"/>
      <c r="V17" s="181"/>
      <c r="W17" s="182"/>
    </row>
    <row r="18" spans="1:23" s="50" customFormat="1" ht="15.75" thickBot="1">
      <c r="A18" s="392"/>
      <c r="B18" s="393"/>
      <c r="C18" s="394"/>
      <c r="D18" s="395"/>
      <c r="E18" s="395"/>
      <c r="F18" s="395"/>
      <c r="G18" s="395"/>
      <c r="H18" s="395"/>
      <c r="I18" s="395"/>
      <c r="J18" s="395"/>
      <c r="K18" s="395"/>
      <c r="L18" s="396"/>
      <c r="M18" s="395"/>
      <c r="N18" s="395"/>
      <c r="O18" s="397"/>
      <c r="P18" s="395"/>
      <c r="Q18" s="395"/>
      <c r="R18" s="395"/>
      <c r="S18" s="398"/>
      <c r="T18" s="181"/>
      <c r="U18" s="181"/>
      <c r="V18" s="181"/>
      <c r="W18" s="182"/>
    </row>
    <row r="19" spans="1:23" s="51" customFormat="1" ht="19.5" thickBot="1">
      <c r="A19" s="797" t="s">
        <v>5</v>
      </c>
      <c r="B19" s="798"/>
      <c r="C19" s="798"/>
      <c r="D19" s="798"/>
      <c r="E19" s="798"/>
      <c r="F19" s="798"/>
      <c r="G19" s="798"/>
      <c r="H19" s="798"/>
      <c r="I19" s="798"/>
      <c r="J19" s="798"/>
      <c r="K19" s="798"/>
      <c r="L19" s="798"/>
      <c r="M19" s="799"/>
      <c r="N19" s="391">
        <f>ROUNDUP(SUM(N11:N18)+N8,0)</f>
        <v>218</v>
      </c>
      <c r="O19" s="391">
        <f>ROUNDUP(SUM(O11:O18)+O8,0)</f>
        <v>0</v>
      </c>
      <c r="P19" s="391">
        <f>ROUNDUP(SUM(P11:P18),0)</f>
        <v>6</v>
      </c>
      <c r="Q19" s="391">
        <f>ROUNDUP(SUM(Q11:Q18)+Q8,0)</f>
        <v>44</v>
      </c>
      <c r="R19" s="391">
        <f>ROUNDUP(SUM(R11:R18)+R8,0)</f>
        <v>168</v>
      </c>
      <c r="S19" s="391">
        <f>ROUNDUP(SUM(S11:S18),0)</f>
        <v>0</v>
      </c>
      <c r="T19" s="183"/>
      <c r="U19" s="184"/>
      <c r="V19" s="184"/>
      <c r="W19" s="185"/>
    </row>
    <row r="20" spans="1:23" s="51" customFormat="1" ht="19.5" thickBot="1">
      <c r="A20" s="795" t="s">
        <v>99</v>
      </c>
      <c r="B20" s="796"/>
      <c r="C20" s="796"/>
      <c r="D20" s="796"/>
      <c r="E20" s="796"/>
      <c r="F20" s="796"/>
      <c r="G20" s="69" t="s">
        <v>32</v>
      </c>
      <c r="H20" s="814"/>
      <c r="I20" s="163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5"/>
    </row>
    <row r="21" spans="1:23" ht="19.5" thickBot="1">
      <c r="A21" s="822" t="s">
        <v>100</v>
      </c>
      <c r="B21" s="823"/>
      <c r="C21" s="823"/>
      <c r="D21" s="823"/>
      <c r="E21" s="823"/>
      <c r="F21" s="54">
        <f>F8</f>
        <v>58</v>
      </c>
      <c r="G21" s="55" t="s">
        <v>50</v>
      </c>
      <c r="H21" s="815"/>
      <c r="I21" s="808" t="s">
        <v>306</v>
      </c>
      <c r="J21" s="809"/>
      <c r="K21" s="809"/>
      <c r="L21" s="809"/>
      <c r="M21" s="235">
        <f>(SUMIF(H$11:H$18,0.4,J$11:J$18))</f>
        <v>5.164999999999999</v>
      </c>
      <c r="N21" s="806">
        <v>1.08</v>
      </c>
      <c r="O21" s="166"/>
      <c r="P21" s="166"/>
      <c r="Q21" s="166"/>
      <c r="R21" s="166"/>
      <c r="S21" s="166"/>
      <c r="T21" s="166"/>
      <c r="U21" s="166"/>
      <c r="V21" s="166"/>
      <c r="W21" s="167"/>
    </row>
    <row r="22" spans="1:23" ht="19.5" thickBot="1">
      <c r="A22" s="774" t="s">
        <v>101</v>
      </c>
      <c r="B22" s="775"/>
      <c r="C22" s="775"/>
      <c r="D22" s="775"/>
      <c r="E22" s="775"/>
      <c r="F22" s="56">
        <f>SUMIF($H$11:$H$18,0.4,$I$11:$I$18)</f>
        <v>135</v>
      </c>
      <c r="G22" s="57" t="s">
        <v>50</v>
      </c>
      <c r="H22" s="815"/>
      <c r="I22" s="810"/>
      <c r="J22" s="811"/>
      <c r="K22" s="811"/>
      <c r="L22" s="811"/>
      <c r="M22" s="236">
        <f>SUMIF(H$11:H$18,0.6,J$11:J$18)</f>
        <v>1.2850000000000001</v>
      </c>
      <c r="N22" s="807"/>
      <c r="O22" s="812" t="s">
        <v>231</v>
      </c>
      <c r="P22" s="766"/>
      <c r="Q22" s="767"/>
      <c r="R22" s="162">
        <f>IF(N21&lt;=1.5,0,N21-1.5)</f>
        <v>0</v>
      </c>
      <c r="S22" s="765" t="s">
        <v>232</v>
      </c>
      <c r="T22" s="766"/>
      <c r="U22" s="766"/>
      <c r="V22" s="767"/>
      <c r="W22" s="162">
        <f>N21+0.2</f>
        <v>1.28</v>
      </c>
    </row>
    <row r="23" spans="1:25" ht="18.75">
      <c r="A23" s="774" t="s">
        <v>209</v>
      </c>
      <c r="B23" s="775"/>
      <c r="C23" s="775"/>
      <c r="D23" s="775"/>
      <c r="E23" s="775"/>
      <c r="F23" s="56">
        <f>SUMIF($H$11:$H$18,0.6,$I$11:$I$18)</f>
        <v>28</v>
      </c>
      <c r="G23" s="57" t="s">
        <v>50</v>
      </c>
      <c r="H23" s="815"/>
      <c r="I23" s="812" t="s">
        <v>247</v>
      </c>
      <c r="J23" s="766"/>
      <c r="K23" s="766"/>
      <c r="L23" s="766"/>
      <c r="M23" s="161">
        <f>SUMIF(H$11:H$18,0.8,J$11:J$18)</f>
        <v>0</v>
      </c>
      <c r="N23" s="162"/>
      <c r="O23" s="768" t="s">
        <v>231</v>
      </c>
      <c r="P23" s="769"/>
      <c r="Q23" s="770"/>
      <c r="R23" s="158">
        <f>IF(N23&lt;=1.5,0,N23-1.5)</f>
        <v>0</v>
      </c>
      <c r="S23" s="768" t="s">
        <v>232</v>
      </c>
      <c r="T23" s="769"/>
      <c r="U23" s="769"/>
      <c r="V23" s="770"/>
      <c r="W23" s="162"/>
      <c r="Y23" s="23">
        <f>2*PI()*0.2</f>
        <v>1.2566370614359172</v>
      </c>
    </row>
    <row r="24" spans="1:23" ht="18.75">
      <c r="A24" s="774" t="s">
        <v>243</v>
      </c>
      <c r="B24" s="775"/>
      <c r="C24" s="775"/>
      <c r="D24" s="775"/>
      <c r="E24" s="775"/>
      <c r="F24" s="56">
        <f>SUMIF($H$11:$H$18,0.8,$I$11:$I$18)</f>
        <v>0</v>
      </c>
      <c r="G24" s="57" t="s">
        <v>50</v>
      </c>
      <c r="H24" s="815"/>
      <c r="I24" s="804" t="s">
        <v>248</v>
      </c>
      <c r="J24" s="769"/>
      <c r="K24" s="769"/>
      <c r="L24" s="769"/>
      <c r="M24" s="156">
        <f>SUMIF(H$11:H$18,1,J$11:J$18)</f>
        <v>0</v>
      </c>
      <c r="N24" s="158">
        <v>0</v>
      </c>
      <c r="O24" s="768" t="s">
        <v>231</v>
      </c>
      <c r="P24" s="769"/>
      <c r="Q24" s="770"/>
      <c r="R24" s="158">
        <f>IF(N24&lt;=1.5,0,N24-1.5)</f>
        <v>0</v>
      </c>
      <c r="S24" s="768" t="s">
        <v>232</v>
      </c>
      <c r="T24" s="769"/>
      <c r="U24" s="769"/>
      <c r="V24" s="770"/>
      <c r="W24" s="162">
        <v>0</v>
      </c>
    </row>
    <row r="25" spans="1:25" ht="18.75">
      <c r="A25" s="774" t="s">
        <v>244</v>
      </c>
      <c r="B25" s="775"/>
      <c r="C25" s="775"/>
      <c r="D25" s="775"/>
      <c r="E25" s="775"/>
      <c r="F25" s="56">
        <f>SUMIF($H$11:$H$18,1,$I$11:$I$18)</f>
        <v>0</v>
      </c>
      <c r="G25" s="57" t="s">
        <v>50</v>
      </c>
      <c r="H25" s="815"/>
      <c r="I25" s="804" t="s">
        <v>249</v>
      </c>
      <c r="J25" s="769"/>
      <c r="K25" s="769"/>
      <c r="L25" s="769"/>
      <c r="M25" s="156">
        <f>SUMIF(H$11:H$18,1.2,J$11:J$18)</f>
        <v>0</v>
      </c>
      <c r="N25" s="158">
        <f>IF(F34=0,0,M25/(F34+F35))</f>
        <v>0</v>
      </c>
      <c r="O25" s="768" t="s">
        <v>231</v>
      </c>
      <c r="P25" s="769"/>
      <c r="Q25" s="770"/>
      <c r="R25" s="158">
        <f>IF(N25&lt;=1.5,0,N25-1.5)</f>
        <v>0</v>
      </c>
      <c r="S25" s="768" t="s">
        <v>232</v>
      </c>
      <c r="T25" s="769"/>
      <c r="U25" s="769"/>
      <c r="V25" s="770"/>
      <c r="W25" s="162">
        <f>N25</f>
        <v>0</v>
      </c>
      <c r="X25" s="126"/>
      <c r="Y25" s="128"/>
    </row>
    <row r="26" spans="1:25" ht="19.5" thickBot="1">
      <c r="A26" s="774" t="s">
        <v>245</v>
      </c>
      <c r="B26" s="775"/>
      <c r="C26" s="775"/>
      <c r="D26" s="775"/>
      <c r="E26" s="775"/>
      <c r="F26" s="56">
        <f>SUMIF($H$11:$H$18,1.2,$I$11:$I$18)</f>
        <v>0</v>
      </c>
      <c r="G26" s="57" t="s">
        <v>50</v>
      </c>
      <c r="H26" s="815"/>
      <c r="I26" s="805" t="s">
        <v>250</v>
      </c>
      <c r="J26" s="772"/>
      <c r="K26" s="772"/>
      <c r="L26" s="772"/>
      <c r="M26" s="157"/>
      <c r="N26" s="159">
        <f>IF(F36=0,0,M26/(F36+F37))</f>
        <v>0</v>
      </c>
      <c r="O26" s="771" t="s">
        <v>231</v>
      </c>
      <c r="P26" s="772"/>
      <c r="Q26" s="773"/>
      <c r="R26" s="159">
        <f>IF(N26&lt;=1.5,0,N26-1.5)</f>
        <v>0</v>
      </c>
      <c r="S26" s="771" t="s">
        <v>232</v>
      </c>
      <c r="T26" s="772"/>
      <c r="U26" s="772"/>
      <c r="V26" s="773"/>
      <c r="W26" s="162"/>
      <c r="X26" s="126"/>
      <c r="Y26" s="128"/>
    </row>
    <row r="27" spans="1:25" ht="19.5" thickBot="1">
      <c r="A27" s="802" t="s">
        <v>246</v>
      </c>
      <c r="B27" s="803"/>
      <c r="C27" s="803"/>
      <c r="D27" s="803"/>
      <c r="E27" s="803"/>
      <c r="F27" s="140">
        <f>SUMIF($H$11:$H$18,1.5,$I$11:$I$18)</f>
        <v>0</v>
      </c>
      <c r="G27" s="127" t="s">
        <v>50</v>
      </c>
      <c r="H27" s="815"/>
      <c r="I27" s="825"/>
      <c r="J27" s="826"/>
      <c r="K27" s="826"/>
      <c r="L27" s="826"/>
      <c r="M27" s="826"/>
      <c r="N27" s="826"/>
      <c r="O27" s="826"/>
      <c r="P27" s="826"/>
      <c r="Q27" s="826"/>
      <c r="R27" s="826"/>
      <c r="S27" s="826"/>
      <c r="T27" s="826"/>
      <c r="U27" s="826"/>
      <c r="V27" s="826"/>
      <c r="W27" s="827"/>
      <c r="X27" s="126"/>
      <c r="Y27" s="128"/>
    </row>
    <row r="28" spans="1:23" ht="18.75">
      <c r="A28" s="800" t="s">
        <v>300</v>
      </c>
      <c r="B28" s="801"/>
      <c r="C28" s="801"/>
      <c r="D28" s="801"/>
      <c r="E28" s="801"/>
      <c r="F28" s="160">
        <v>2</v>
      </c>
      <c r="G28" s="146" t="s">
        <v>4</v>
      </c>
      <c r="H28" s="815"/>
      <c r="I28" s="819" t="s">
        <v>302</v>
      </c>
      <c r="J28" s="820"/>
      <c r="K28" s="820"/>
      <c r="L28" s="820"/>
      <c r="M28" s="820"/>
      <c r="N28" s="229"/>
      <c r="O28" s="230" t="s">
        <v>4</v>
      </c>
      <c r="P28" s="828"/>
      <c r="Q28" s="800" t="s">
        <v>304</v>
      </c>
      <c r="R28" s="801"/>
      <c r="S28" s="801"/>
      <c r="T28" s="801"/>
      <c r="U28" s="801"/>
      <c r="V28" s="233"/>
      <c r="W28" s="146" t="s">
        <v>4</v>
      </c>
    </row>
    <row r="29" spans="1:23" ht="18.75">
      <c r="A29" s="785" t="s">
        <v>301</v>
      </c>
      <c r="B29" s="786"/>
      <c r="C29" s="786"/>
      <c r="D29" s="786"/>
      <c r="E29" s="786"/>
      <c r="F29" s="132">
        <v>3</v>
      </c>
      <c r="G29" s="147" t="s">
        <v>4</v>
      </c>
      <c r="H29" s="815"/>
      <c r="I29" s="821" t="s">
        <v>303</v>
      </c>
      <c r="J29" s="786"/>
      <c r="K29" s="786"/>
      <c r="L29" s="786"/>
      <c r="M29" s="786"/>
      <c r="N29" s="231"/>
      <c r="O29" s="232" t="s">
        <v>4</v>
      </c>
      <c r="P29" s="829"/>
      <c r="Q29" s="785" t="s">
        <v>305</v>
      </c>
      <c r="R29" s="786"/>
      <c r="S29" s="786"/>
      <c r="T29" s="786"/>
      <c r="U29" s="786"/>
      <c r="V29" s="231"/>
      <c r="W29" s="147" t="s">
        <v>4</v>
      </c>
    </row>
    <row r="30" spans="1:23" ht="18.75">
      <c r="A30" s="778" t="s">
        <v>235</v>
      </c>
      <c r="B30" s="779"/>
      <c r="C30" s="779"/>
      <c r="D30" s="779"/>
      <c r="E30" s="779"/>
      <c r="F30" s="134"/>
      <c r="G30" s="149" t="s">
        <v>4</v>
      </c>
      <c r="H30" s="815"/>
      <c r="I30" s="813" t="s">
        <v>282</v>
      </c>
      <c r="J30" s="779"/>
      <c r="K30" s="779"/>
      <c r="L30" s="779"/>
      <c r="M30" s="779"/>
      <c r="N30" s="134"/>
      <c r="O30" s="149" t="s">
        <v>4</v>
      </c>
      <c r="P30" s="829"/>
      <c r="Q30" s="778" t="s">
        <v>290</v>
      </c>
      <c r="R30" s="779"/>
      <c r="S30" s="779"/>
      <c r="T30" s="779"/>
      <c r="U30" s="779"/>
      <c r="V30" s="134"/>
      <c r="W30" s="149" t="s">
        <v>4</v>
      </c>
    </row>
    <row r="31" spans="1:23" ht="18.75">
      <c r="A31" s="778" t="s">
        <v>236</v>
      </c>
      <c r="B31" s="779"/>
      <c r="C31" s="779"/>
      <c r="D31" s="779"/>
      <c r="E31" s="779"/>
      <c r="F31" s="134"/>
      <c r="G31" s="149" t="s">
        <v>4</v>
      </c>
      <c r="H31" s="815"/>
      <c r="I31" s="813" t="s">
        <v>283</v>
      </c>
      <c r="J31" s="779"/>
      <c r="K31" s="779"/>
      <c r="L31" s="779"/>
      <c r="M31" s="779"/>
      <c r="N31" s="134"/>
      <c r="O31" s="149" t="s">
        <v>4</v>
      </c>
      <c r="P31" s="829"/>
      <c r="Q31" s="778" t="s">
        <v>291</v>
      </c>
      <c r="R31" s="779"/>
      <c r="S31" s="779"/>
      <c r="T31" s="779"/>
      <c r="U31" s="779"/>
      <c r="V31" s="134"/>
      <c r="W31" s="149" t="s">
        <v>4</v>
      </c>
    </row>
    <row r="32" spans="1:23" ht="18.75">
      <c r="A32" s="761" t="s">
        <v>237</v>
      </c>
      <c r="B32" s="762"/>
      <c r="C32" s="762"/>
      <c r="D32" s="762"/>
      <c r="E32" s="762"/>
      <c r="F32" s="135"/>
      <c r="G32" s="150" t="s">
        <v>4</v>
      </c>
      <c r="H32" s="815"/>
      <c r="I32" s="832" t="s">
        <v>284</v>
      </c>
      <c r="J32" s="762"/>
      <c r="K32" s="762"/>
      <c r="L32" s="762"/>
      <c r="M32" s="762"/>
      <c r="N32" s="135"/>
      <c r="O32" s="150" t="s">
        <v>4</v>
      </c>
      <c r="P32" s="829"/>
      <c r="Q32" s="761" t="s">
        <v>292</v>
      </c>
      <c r="R32" s="762"/>
      <c r="S32" s="762"/>
      <c r="T32" s="762"/>
      <c r="U32" s="762"/>
      <c r="V32" s="135"/>
      <c r="W32" s="150" t="s">
        <v>4</v>
      </c>
    </row>
    <row r="33" spans="1:23" ht="18.75">
      <c r="A33" s="761" t="s">
        <v>238</v>
      </c>
      <c r="B33" s="762"/>
      <c r="C33" s="762"/>
      <c r="D33" s="762"/>
      <c r="E33" s="762"/>
      <c r="F33" s="135"/>
      <c r="G33" s="150" t="s">
        <v>4</v>
      </c>
      <c r="H33" s="815"/>
      <c r="I33" s="832" t="s">
        <v>285</v>
      </c>
      <c r="J33" s="762"/>
      <c r="K33" s="762"/>
      <c r="L33" s="762"/>
      <c r="M33" s="762"/>
      <c r="N33" s="135"/>
      <c r="O33" s="150" t="s">
        <v>4</v>
      </c>
      <c r="P33" s="829"/>
      <c r="Q33" s="761" t="s">
        <v>293</v>
      </c>
      <c r="R33" s="762"/>
      <c r="S33" s="762"/>
      <c r="T33" s="762"/>
      <c r="U33" s="762"/>
      <c r="V33" s="135"/>
      <c r="W33" s="150" t="s">
        <v>4</v>
      </c>
    </row>
    <row r="34" spans="1:23" ht="18.75">
      <c r="A34" s="781" t="s">
        <v>239</v>
      </c>
      <c r="B34" s="782"/>
      <c r="C34" s="782"/>
      <c r="D34" s="782"/>
      <c r="E34" s="782"/>
      <c r="F34" s="136"/>
      <c r="G34" s="151" t="s">
        <v>4</v>
      </c>
      <c r="H34" s="815"/>
      <c r="I34" s="831" t="s">
        <v>286</v>
      </c>
      <c r="J34" s="782"/>
      <c r="K34" s="782"/>
      <c r="L34" s="782"/>
      <c r="M34" s="782"/>
      <c r="N34" s="136"/>
      <c r="O34" s="151" t="s">
        <v>4</v>
      </c>
      <c r="P34" s="829"/>
      <c r="Q34" s="781" t="s">
        <v>294</v>
      </c>
      <c r="R34" s="782"/>
      <c r="S34" s="782"/>
      <c r="T34" s="782"/>
      <c r="U34" s="782"/>
      <c r="V34" s="136"/>
      <c r="W34" s="151" t="s">
        <v>4</v>
      </c>
    </row>
    <row r="35" spans="1:23" ht="18.75">
      <c r="A35" s="781" t="s">
        <v>240</v>
      </c>
      <c r="B35" s="782"/>
      <c r="C35" s="782"/>
      <c r="D35" s="782"/>
      <c r="E35" s="782"/>
      <c r="F35" s="136"/>
      <c r="G35" s="151" t="s">
        <v>4</v>
      </c>
      <c r="H35" s="815"/>
      <c r="I35" s="831" t="s">
        <v>287</v>
      </c>
      <c r="J35" s="782"/>
      <c r="K35" s="782"/>
      <c r="L35" s="782"/>
      <c r="M35" s="782"/>
      <c r="N35" s="136"/>
      <c r="O35" s="151" t="s">
        <v>4</v>
      </c>
      <c r="P35" s="829"/>
      <c r="Q35" s="781" t="s">
        <v>295</v>
      </c>
      <c r="R35" s="782"/>
      <c r="S35" s="782"/>
      <c r="T35" s="782"/>
      <c r="U35" s="782"/>
      <c r="V35" s="136"/>
      <c r="W35" s="151" t="s">
        <v>4</v>
      </c>
    </row>
    <row r="36" spans="1:23" ht="18.75">
      <c r="A36" s="783" t="s">
        <v>241</v>
      </c>
      <c r="B36" s="784"/>
      <c r="C36" s="784"/>
      <c r="D36" s="784"/>
      <c r="E36" s="784"/>
      <c r="F36" s="137"/>
      <c r="G36" s="152" t="s">
        <v>4</v>
      </c>
      <c r="H36" s="815"/>
      <c r="I36" s="834" t="s">
        <v>288</v>
      </c>
      <c r="J36" s="784"/>
      <c r="K36" s="784"/>
      <c r="L36" s="784"/>
      <c r="M36" s="784"/>
      <c r="N36" s="137"/>
      <c r="O36" s="152" t="s">
        <v>4</v>
      </c>
      <c r="P36" s="829"/>
      <c r="Q36" s="783"/>
      <c r="R36" s="784"/>
      <c r="S36" s="784"/>
      <c r="T36" s="784"/>
      <c r="U36" s="784"/>
      <c r="V36" s="137"/>
      <c r="W36" s="152"/>
    </row>
    <row r="37" spans="1:23" ht="18.75">
      <c r="A37" s="783" t="s">
        <v>242</v>
      </c>
      <c r="B37" s="784"/>
      <c r="C37" s="784"/>
      <c r="D37" s="784"/>
      <c r="E37" s="784"/>
      <c r="F37" s="137"/>
      <c r="G37" s="152" t="s">
        <v>4</v>
      </c>
      <c r="H37" s="815"/>
      <c r="I37" s="834" t="s">
        <v>289</v>
      </c>
      <c r="J37" s="784"/>
      <c r="K37" s="784"/>
      <c r="L37" s="784"/>
      <c r="M37" s="784"/>
      <c r="N37" s="137"/>
      <c r="O37" s="152" t="s">
        <v>4</v>
      </c>
      <c r="P37" s="829"/>
      <c r="Q37" s="783"/>
      <c r="R37" s="784"/>
      <c r="S37" s="784"/>
      <c r="T37" s="784"/>
      <c r="U37" s="784"/>
      <c r="V37" s="137"/>
      <c r="W37" s="152"/>
    </row>
    <row r="38" spans="1:23" ht="18.75">
      <c r="A38" s="774" t="s">
        <v>102</v>
      </c>
      <c r="B38" s="775"/>
      <c r="C38" s="775"/>
      <c r="D38" s="775"/>
      <c r="E38" s="775"/>
      <c r="F38" s="121">
        <v>12</v>
      </c>
      <c r="G38" s="57" t="s">
        <v>4</v>
      </c>
      <c r="H38" s="815"/>
      <c r="I38" s="835" t="s">
        <v>252</v>
      </c>
      <c r="J38" s="775"/>
      <c r="K38" s="775"/>
      <c r="L38" s="775"/>
      <c r="M38" s="775"/>
      <c r="N38" s="121"/>
      <c r="O38" s="57" t="s">
        <v>4</v>
      </c>
      <c r="P38" s="829"/>
      <c r="Q38" s="774"/>
      <c r="R38" s="775"/>
      <c r="S38" s="775"/>
      <c r="T38" s="775"/>
      <c r="U38" s="775"/>
      <c r="V38" s="121"/>
      <c r="W38" s="57" t="s">
        <v>4</v>
      </c>
    </row>
    <row r="39" spans="1:23" ht="18.75">
      <c r="A39" s="785" t="s">
        <v>253</v>
      </c>
      <c r="B39" s="786"/>
      <c r="C39" s="786"/>
      <c r="D39" s="786"/>
      <c r="E39" s="786"/>
      <c r="F39" s="132"/>
      <c r="G39" s="147" t="s">
        <v>4</v>
      </c>
      <c r="H39" s="815"/>
      <c r="I39" s="821" t="s">
        <v>254</v>
      </c>
      <c r="J39" s="786"/>
      <c r="K39" s="786"/>
      <c r="L39" s="786"/>
      <c r="M39" s="786"/>
      <c r="N39" s="132"/>
      <c r="O39" s="147" t="s">
        <v>4</v>
      </c>
      <c r="P39" s="829"/>
      <c r="Q39" s="785" t="s">
        <v>383</v>
      </c>
      <c r="R39" s="786"/>
      <c r="S39" s="786"/>
      <c r="T39" s="786"/>
      <c r="U39" s="786"/>
      <c r="V39" s="132"/>
      <c r="W39" s="147" t="s">
        <v>4</v>
      </c>
    </row>
    <row r="40" spans="1:23" ht="18.75">
      <c r="A40" s="776" t="s">
        <v>255</v>
      </c>
      <c r="B40" s="777"/>
      <c r="C40" s="777"/>
      <c r="D40" s="777"/>
      <c r="E40" s="777"/>
      <c r="F40" s="133"/>
      <c r="G40" s="148" t="s">
        <v>4</v>
      </c>
      <c r="H40" s="815"/>
      <c r="I40" s="824" t="s">
        <v>256</v>
      </c>
      <c r="J40" s="777"/>
      <c r="K40" s="777"/>
      <c r="L40" s="777"/>
      <c r="M40" s="777"/>
      <c r="N40" s="133"/>
      <c r="O40" s="148" t="s">
        <v>4</v>
      </c>
      <c r="P40" s="829"/>
      <c r="Q40" s="776" t="s">
        <v>296</v>
      </c>
      <c r="R40" s="777"/>
      <c r="S40" s="777"/>
      <c r="T40" s="777"/>
      <c r="U40" s="777"/>
      <c r="V40" s="133"/>
      <c r="W40" s="148" t="s">
        <v>4</v>
      </c>
    </row>
    <row r="41" spans="1:23" ht="18.75">
      <c r="A41" s="778" t="s">
        <v>257</v>
      </c>
      <c r="B41" s="779"/>
      <c r="C41" s="779"/>
      <c r="D41" s="779"/>
      <c r="E41" s="779"/>
      <c r="F41" s="134"/>
      <c r="G41" s="149" t="s">
        <v>4</v>
      </c>
      <c r="H41" s="815"/>
      <c r="I41" s="813" t="s">
        <v>258</v>
      </c>
      <c r="J41" s="779"/>
      <c r="K41" s="779"/>
      <c r="L41" s="779"/>
      <c r="M41" s="779"/>
      <c r="N41" s="134"/>
      <c r="O41" s="149" t="s">
        <v>4</v>
      </c>
      <c r="P41" s="829"/>
      <c r="Q41" s="778" t="s">
        <v>297</v>
      </c>
      <c r="R41" s="779"/>
      <c r="S41" s="779"/>
      <c r="T41" s="779"/>
      <c r="U41" s="779"/>
      <c r="V41" s="134"/>
      <c r="W41" s="149" t="s">
        <v>4</v>
      </c>
    </row>
    <row r="42" spans="1:23" ht="18.75">
      <c r="A42" s="761" t="s">
        <v>259</v>
      </c>
      <c r="B42" s="762"/>
      <c r="C42" s="762"/>
      <c r="D42" s="762"/>
      <c r="E42" s="762"/>
      <c r="F42" s="135"/>
      <c r="G42" s="150" t="s">
        <v>4</v>
      </c>
      <c r="H42" s="815"/>
      <c r="I42" s="832" t="s">
        <v>260</v>
      </c>
      <c r="J42" s="762"/>
      <c r="K42" s="762"/>
      <c r="L42" s="762"/>
      <c r="M42" s="762"/>
      <c r="N42" s="135"/>
      <c r="O42" s="150" t="s">
        <v>4</v>
      </c>
      <c r="P42" s="829"/>
      <c r="Q42" s="761" t="s">
        <v>298</v>
      </c>
      <c r="R42" s="762"/>
      <c r="S42" s="762"/>
      <c r="T42" s="762"/>
      <c r="U42" s="762"/>
      <c r="V42" s="135"/>
      <c r="W42" s="150" t="s">
        <v>4</v>
      </c>
    </row>
    <row r="43" spans="1:23" ht="19.5" thickBot="1">
      <c r="A43" s="817" t="s">
        <v>410</v>
      </c>
      <c r="B43" s="818"/>
      <c r="C43" s="818"/>
      <c r="D43" s="818"/>
      <c r="E43" s="818"/>
      <c r="F43" s="154"/>
      <c r="G43" s="155" t="s">
        <v>4</v>
      </c>
      <c r="H43" s="816"/>
      <c r="I43" s="833" t="s">
        <v>261</v>
      </c>
      <c r="J43" s="764"/>
      <c r="K43" s="764"/>
      <c r="L43" s="764"/>
      <c r="M43" s="764"/>
      <c r="N43" s="141"/>
      <c r="O43" s="153" t="s">
        <v>4</v>
      </c>
      <c r="P43" s="830"/>
      <c r="Q43" s="763" t="s">
        <v>299</v>
      </c>
      <c r="R43" s="764"/>
      <c r="S43" s="764"/>
      <c r="T43" s="764"/>
      <c r="U43" s="764"/>
      <c r="V43" s="141"/>
      <c r="W43" s="153" t="s">
        <v>4</v>
      </c>
    </row>
    <row r="44" spans="1:19" ht="15.75" thickBot="1">
      <c r="A44" s="758" t="s">
        <v>159</v>
      </c>
      <c r="B44" s="759"/>
      <c r="C44" s="759"/>
      <c r="D44" s="759"/>
      <c r="E44" s="759"/>
      <c r="F44" s="759"/>
      <c r="G44" s="759"/>
      <c r="H44" s="759"/>
      <c r="I44" s="759"/>
      <c r="J44" s="760"/>
      <c r="S44" s="125"/>
    </row>
    <row r="46" spans="1:18" ht="1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R46" s="125"/>
    </row>
    <row r="47" spans="1:10" ht="15">
      <c r="A47" s="129"/>
      <c r="B47" s="791"/>
      <c r="C47" s="791"/>
      <c r="D47" s="791"/>
      <c r="E47" s="791"/>
      <c r="F47" s="791"/>
      <c r="G47" s="791"/>
      <c r="H47" s="791"/>
      <c r="I47" s="791"/>
      <c r="J47" s="791"/>
    </row>
    <row r="48" spans="1:10" ht="15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5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71" spans="14:22" ht="18.75">
      <c r="N71" s="52"/>
      <c r="O71" s="52"/>
      <c r="P71" s="52"/>
      <c r="Q71" s="52"/>
      <c r="R71" s="52"/>
      <c r="S71" s="52"/>
      <c r="T71" s="53"/>
      <c r="U71" s="53"/>
      <c r="V71" s="53"/>
    </row>
  </sheetData>
  <sheetProtection/>
  <mergeCells count="89">
    <mergeCell ref="I42:M42"/>
    <mergeCell ref="A35:E35"/>
    <mergeCell ref="I43:M43"/>
    <mergeCell ref="I30:M30"/>
    <mergeCell ref="I31:M31"/>
    <mergeCell ref="I36:M36"/>
    <mergeCell ref="I37:M37"/>
    <mergeCell ref="I38:M38"/>
    <mergeCell ref="I39:M39"/>
    <mergeCell ref="I32:M32"/>
    <mergeCell ref="I33:M33"/>
    <mergeCell ref="A29:E29"/>
    <mergeCell ref="A42:E42"/>
    <mergeCell ref="A39:E39"/>
    <mergeCell ref="A30:E30"/>
    <mergeCell ref="A37:E37"/>
    <mergeCell ref="A36:E36"/>
    <mergeCell ref="A32:E32"/>
    <mergeCell ref="A31:E31"/>
    <mergeCell ref="A33:E33"/>
    <mergeCell ref="A34:E34"/>
    <mergeCell ref="O25:Q25"/>
    <mergeCell ref="O26:Q26"/>
    <mergeCell ref="A40:E40"/>
    <mergeCell ref="I40:M40"/>
    <mergeCell ref="I27:W27"/>
    <mergeCell ref="P28:P43"/>
    <mergeCell ref="Q31:U31"/>
    <mergeCell ref="I35:M35"/>
    <mergeCell ref="I34:M34"/>
    <mergeCell ref="A41:E41"/>
    <mergeCell ref="I41:M41"/>
    <mergeCell ref="H20:H43"/>
    <mergeCell ref="A43:E43"/>
    <mergeCell ref="A38:E38"/>
    <mergeCell ref="I28:M28"/>
    <mergeCell ref="I29:M29"/>
    <mergeCell ref="I24:L24"/>
    <mergeCell ref="A21:E21"/>
    <mergeCell ref="A22:E22"/>
    <mergeCell ref="S24:V24"/>
    <mergeCell ref="S25:V25"/>
    <mergeCell ref="O23:Q23"/>
    <mergeCell ref="I25:L25"/>
    <mergeCell ref="I26:L26"/>
    <mergeCell ref="N21:N22"/>
    <mergeCell ref="I21:L22"/>
    <mergeCell ref="O22:Q22"/>
    <mergeCell ref="I23:L23"/>
    <mergeCell ref="A9:R9"/>
    <mergeCell ref="A23:E23"/>
    <mergeCell ref="A28:E28"/>
    <mergeCell ref="Q28:U28"/>
    <mergeCell ref="Q29:U29"/>
    <mergeCell ref="A24:E24"/>
    <mergeCell ref="A25:E25"/>
    <mergeCell ref="A26:E26"/>
    <mergeCell ref="A27:E27"/>
    <mergeCell ref="O24:Q24"/>
    <mergeCell ref="Q33:U33"/>
    <mergeCell ref="Q39:U39"/>
    <mergeCell ref="M3:N3"/>
    <mergeCell ref="D3:L3"/>
    <mergeCell ref="D4:L4"/>
    <mergeCell ref="B47:J47"/>
    <mergeCell ref="A6:R6"/>
    <mergeCell ref="A10:B10"/>
    <mergeCell ref="A20:F20"/>
    <mergeCell ref="A19:M19"/>
    <mergeCell ref="Q38:U38"/>
    <mergeCell ref="Q32:U32"/>
    <mergeCell ref="Q40:U40"/>
    <mergeCell ref="Q30:U30"/>
    <mergeCell ref="A2:S2"/>
    <mergeCell ref="Q41:U41"/>
    <mergeCell ref="Q34:U34"/>
    <mergeCell ref="Q35:U35"/>
    <mergeCell ref="Q36:U36"/>
    <mergeCell ref="Q37:U37"/>
    <mergeCell ref="A1:S1"/>
    <mergeCell ref="A5:S5"/>
    <mergeCell ref="M4:S4"/>
    <mergeCell ref="P3:S3"/>
    <mergeCell ref="A44:J44"/>
    <mergeCell ref="Q42:U42"/>
    <mergeCell ref="Q43:U43"/>
    <mergeCell ref="S22:V22"/>
    <mergeCell ref="S23:V23"/>
    <mergeCell ref="S26:V26"/>
  </mergeCells>
  <printOptions horizontalCentered="1"/>
  <pageMargins left="0.3937007874015748" right="0.3937007874015748" top="0.7874015748031497" bottom="0.3937007874015748" header="0.31496062992125984" footer="0.31496062992125984"/>
  <pageSetup fitToHeight="2"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="85" zoomScaleNormal="85" zoomScalePageLayoutView="0" workbookViewId="0" topLeftCell="A19">
      <selection activeCell="B54" sqref="B54"/>
    </sheetView>
  </sheetViews>
  <sheetFormatPr defaultColWidth="9.140625" defaultRowHeight="12.75"/>
  <cols>
    <col min="1" max="1" width="18.140625" style="0" bestFit="1" customWidth="1"/>
    <col min="2" max="2" width="121.421875" style="0" customWidth="1"/>
    <col min="3" max="3" width="7.28125" style="0" customWidth="1"/>
    <col min="4" max="4" width="13.7109375" style="0" bestFit="1" customWidth="1"/>
    <col min="5" max="5" width="11.57421875" style="0" bestFit="1" customWidth="1"/>
    <col min="6" max="6" width="32.421875" style="0" customWidth="1"/>
    <col min="7" max="8" width="10.421875" style="0" bestFit="1" customWidth="1"/>
    <col min="9" max="9" width="10.57421875" style="0" customWidth="1"/>
    <col min="10" max="10" width="11.7109375" style="0" bestFit="1" customWidth="1"/>
    <col min="11" max="11" width="6.57421875" style="19" bestFit="1" customWidth="1"/>
    <col min="12" max="12" width="13.00390625" style="6" bestFit="1" customWidth="1"/>
    <col min="13" max="13" width="5.7109375" style="15" bestFit="1" customWidth="1"/>
    <col min="14" max="14" width="17.57421875" style="15" bestFit="1" customWidth="1"/>
    <col min="15" max="15" width="11.00390625" style="6" bestFit="1" customWidth="1"/>
  </cols>
  <sheetData>
    <row r="1" spans="1:15" s="188" customFormat="1" ht="18">
      <c r="A1" s="886" t="s">
        <v>59</v>
      </c>
      <c r="B1" s="886"/>
      <c r="C1" s="886"/>
      <c r="D1" s="886"/>
      <c r="E1" s="886"/>
      <c r="F1" s="886"/>
      <c r="G1" s="187"/>
      <c r="H1" s="187"/>
      <c r="K1" s="189"/>
      <c r="L1" s="190"/>
      <c r="M1" s="191"/>
      <c r="N1" s="191"/>
      <c r="O1" s="190"/>
    </row>
    <row r="2" spans="1:15" s="188" customFormat="1" ht="26.25" thickBot="1">
      <c r="A2" s="892" t="str">
        <f>'dados de entrada'!B15</f>
        <v>PREFEITURA MUNICIPAL DE BOMBINHAS</v>
      </c>
      <c r="B2" s="892"/>
      <c r="C2" s="892"/>
      <c r="D2" s="892"/>
      <c r="E2" s="892"/>
      <c r="F2" s="892"/>
      <c r="G2" s="192"/>
      <c r="H2" s="192"/>
      <c r="K2" s="189"/>
      <c r="L2" s="190"/>
      <c r="M2" s="191"/>
      <c r="N2" s="191"/>
      <c r="O2" s="190"/>
    </row>
    <row r="3" spans="1:15" s="188" customFormat="1" ht="12.75">
      <c r="A3" s="887" t="s">
        <v>17</v>
      </c>
      <c r="B3" s="888"/>
      <c r="C3" s="888"/>
      <c r="D3" s="888"/>
      <c r="E3" s="888"/>
      <c r="F3" s="193" t="s">
        <v>110</v>
      </c>
      <c r="G3" s="194"/>
      <c r="H3" s="194"/>
      <c r="K3" s="189"/>
      <c r="L3" s="190"/>
      <c r="M3" s="191"/>
      <c r="N3" s="191"/>
      <c r="O3" s="190"/>
    </row>
    <row r="4" spans="1:15" s="188" customFormat="1" ht="18.75" thickBot="1">
      <c r="A4" s="893" t="str">
        <f>'dados de entrada'!B8</f>
        <v>PAVIMENTAÇÃO COM LAJOTAS SEXTAVADAS E DRENAGEM PLUVIAL </v>
      </c>
      <c r="B4" s="894"/>
      <c r="C4" s="895"/>
      <c r="D4" s="895"/>
      <c r="E4" s="894"/>
      <c r="F4" s="387">
        <f>'dados de entrada'!B3</f>
        <v>41671</v>
      </c>
      <c r="G4" s="195"/>
      <c r="H4" s="195"/>
      <c r="K4" s="189"/>
      <c r="L4" s="190"/>
      <c r="M4" s="191"/>
      <c r="N4" s="191"/>
      <c r="O4" s="190"/>
    </row>
    <row r="5" spans="1:15" s="188" customFormat="1" ht="12.75">
      <c r="A5" s="386" t="s">
        <v>200</v>
      </c>
      <c r="B5" s="902"/>
      <c r="C5" s="902"/>
      <c r="D5" s="902"/>
      <c r="E5" s="898" t="s">
        <v>19</v>
      </c>
      <c r="F5" s="899"/>
      <c r="G5" s="194"/>
      <c r="H5" s="196"/>
      <c r="K5" s="189"/>
      <c r="L5" s="190"/>
      <c r="M5" s="191"/>
      <c r="N5" s="191"/>
      <c r="O5" s="190"/>
    </row>
    <row r="6" spans="1:15" s="188" customFormat="1" ht="18">
      <c r="A6" s="385" t="str">
        <f>'dados de entrada'!C19</f>
        <v>RUA CANGURU - BAIRRO JOSÉ AMANDIO</v>
      </c>
      <c r="B6" s="388"/>
      <c r="C6" s="388"/>
      <c r="D6" s="388"/>
      <c r="E6" s="896" t="s">
        <v>201</v>
      </c>
      <c r="F6" s="897"/>
      <c r="G6" s="197"/>
      <c r="H6" s="197"/>
      <c r="K6" s="189"/>
      <c r="L6" s="190"/>
      <c r="M6" s="191"/>
      <c r="N6" s="191"/>
      <c r="O6" s="190"/>
    </row>
    <row r="7" spans="1:15" s="188" customFormat="1" ht="15.75" thickBot="1">
      <c r="A7" s="900"/>
      <c r="B7" s="901"/>
      <c r="C7" s="901"/>
      <c r="D7" s="901"/>
      <c r="E7" s="389" t="s">
        <v>433</v>
      </c>
      <c r="F7" s="390">
        <f>'dados de entrada'!B10</f>
        <v>0.25</v>
      </c>
      <c r="G7" s="198"/>
      <c r="H7" s="198"/>
      <c r="K7" s="189"/>
      <c r="L7" s="190"/>
      <c r="M7" s="191"/>
      <c r="N7" s="191"/>
      <c r="O7" s="190"/>
    </row>
    <row r="8" spans="1:15" s="188" customFormat="1" ht="21" thickBot="1">
      <c r="A8" s="414">
        <f>'dados de entrada'!B3</f>
        <v>41671</v>
      </c>
      <c r="B8" s="415" t="s">
        <v>386</v>
      </c>
      <c r="C8" s="889" t="s">
        <v>387</v>
      </c>
      <c r="D8" s="889"/>
      <c r="E8" s="889"/>
      <c r="F8" s="889"/>
      <c r="G8" s="199"/>
      <c r="H8" s="199"/>
      <c r="K8" s="189"/>
      <c r="L8" s="190"/>
      <c r="M8" s="191"/>
      <c r="N8" s="191"/>
      <c r="O8" s="190"/>
    </row>
    <row r="9" spans="1:15" s="200" customFormat="1" ht="18.75" thickBot="1">
      <c r="A9" s="416" t="s">
        <v>0</v>
      </c>
      <c r="B9" s="417" t="s">
        <v>1</v>
      </c>
      <c r="C9" s="417" t="s">
        <v>2</v>
      </c>
      <c r="D9" s="417" t="s">
        <v>10</v>
      </c>
      <c r="E9" s="869" t="s">
        <v>48</v>
      </c>
      <c r="F9" s="870"/>
      <c r="I9" s="201"/>
      <c r="K9" s="864" t="s">
        <v>49</v>
      </c>
      <c r="L9" s="865"/>
      <c r="M9" s="865"/>
      <c r="N9" s="865"/>
      <c r="O9" s="866"/>
    </row>
    <row r="10" spans="1:15" s="200" customFormat="1" ht="18">
      <c r="A10" s="400" t="s">
        <v>547</v>
      </c>
      <c r="B10" s="401" t="s">
        <v>51</v>
      </c>
      <c r="C10" s="402"/>
      <c r="D10" s="202"/>
      <c r="E10" s="871"/>
      <c r="F10" s="872"/>
      <c r="I10" s="201"/>
      <c r="K10" s="203"/>
      <c r="L10" s="203"/>
      <c r="M10" s="203"/>
      <c r="N10" s="203"/>
      <c r="O10" s="203"/>
    </row>
    <row r="11" spans="1:15" s="200" customFormat="1" ht="18">
      <c r="A11" s="353" t="s">
        <v>8</v>
      </c>
      <c r="B11" s="399" t="s">
        <v>207</v>
      </c>
      <c r="C11" s="412" t="s">
        <v>3</v>
      </c>
      <c r="D11" s="204">
        <v>3</v>
      </c>
      <c r="E11" s="844" t="s">
        <v>196</v>
      </c>
      <c r="F11" s="845"/>
      <c r="I11" s="201"/>
      <c r="K11" s="203"/>
      <c r="L11" s="203"/>
      <c r="M11" s="203"/>
      <c r="N11" s="203"/>
      <c r="O11" s="203"/>
    </row>
    <row r="12" spans="1:15" s="200" customFormat="1" ht="18.75" thickBot="1">
      <c r="A12" s="555"/>
      <c r="B12" s="556"/>
      <c r="C12" s="557"/>
      <c r="D12" s="558"/>
      <c r="E12" s="890"/>
      <c r="F12" s="891"/>
      <c r="I12" s="201"/>
      <c r="K12" s="203"/>
      <c r="L12" s="203"/>
      <c r="M12" s="203"/>
      <c r="N12" s="203"/>
      <c r="O12" s="203"/>
    </row>
    <row r="13" spans="1:15" s="200" customFormat="1" ht="18">
      <c r="A13" s="400" t="s">
        <v>550</v>
      </c>
      <c r="B13" s="401" t="s">
        <v>56</v>
      </c>
      <c r="C13" s="402"/>
      <c r="D13" s="202"/>
      <c r="E13" s="882"/>
      <c r="F13" s="883"/>
      <c r="I13" s="201"/>
      <c r="K13" s="203"/>
      <c r="L13" s="203"/>
      <c r="M13" s="203"/>
      <c r="N13" s="203"/>
      <c r="O13" s="203"/>
    </row>
    <row r="14" spans="1:15" s="200" customFormat="1" ht="18">
      <c r="A14" s="353" t="s">
        <v>52</v>
      </c>
      <c r="B14" s="399" t="s">
        <v>425</v>
      </c>
      <c r="C14" s="592" t="s">
        <v>9</v>
      </c>
      <c r="D14" s="204">
        <f>Escavação!N19+Escavação!O19</f>
        <v>218</v>
      </c>
      <c r="E14" s="844" t="s">
        <v>58</v>
      </c>
      <c r="F14" s="845"/>
      <c r="I14" s="201"/>
      <c r="K14" s="203"/>
      <c r="L14" s="203"/>
      <c r="M14" s="203"/>
      <c r="N14" s="203"/>
      <c r="O14" s="203"/>
    </row>
    <row r="15" spans="1:15" s="200" customFormat="1" ht="18">
      <c r="A15" s="353" t="s">
        <v>53</v>
      </c>
      <c r="B15" s="399" t="s">
        <v>208</v>
      </c>
      <c r="C15" s="592" t="s">
        <v>9</v>
      </c>
      <c r="D15" s="204">
        <f>ROUND(Escavação!P19,0)</f>
        <v>6</v>
      </c>
      <c r="E15" s="844" t="s">
        <v>58</v>
      </c>
      <c r="F15" s="845"/>
      <c r="I15" s="201"/>
      <c r="K15" s="203"/>
      <c r="L15" s="203"/>
      <c r="M15" s="203"/>
      <c r="N15" s="203"/>
      <c r="O15" s="203"/>
    </row>
    <row r="16" spans="1:15" s="200" customFormat="1" ht="18">
      <c r="A16" s="353" t="s">
        <v>54</v>
      </c>
      <c r="B16" s="399" t="s">
        <v>581</v>
      </c>
      <c r="C16" s="650" t="s">
        <v>50</v>
      </c>
      <c r="D16" s="204">
        <f>Escavação!F21</f>
        <v>58</v>
      </c>
      <c r="E16" s="844" t="s">
        <v>58</v>
      </c>
      <c r="F16" s="845"/>
      <c r="I16" s="201"/>
      <c r="K16" s="203"/>
      <c r="L16" s="203"/>
      <c r="M16" s="203"/>
      <c r="N16" s="203"/>
      <c r="O16" s="203"/>
    </row>
    <row r="17" spans="1:15" s="200" customFormat="1" ht="18">
      <c r="A17" s="353" t="s">
        <v>55</v>
      </c>
      <c r="B17" s="399" t="s">
        <v>582</v>
      </c>
      <c r="C17" s="650" t="s">
        <v>50</v>
      </c>
      <c r="D17" s="204">
        <f>Escavação!F21</f>
        <v>58</v>
      </c>
      <c r="E17" s="844" t="s">
        <v>58</v>
      </c>
      <c r="F17" s="845"/>
      <c r="I17" s="201"/>
      <c r="K17" s="203"/>
      <c r="L17" s="203"/>
      <c r="M17" s="203"/>
      <c r="N17" s="203"/>
      <c r="O17" s="203"/>
    </row>
    <row r="18" spans="1:15" s="200" customFormat="1" ht="18">
      <c r="A18" s="353" t="s">
        <v>151</v>
      </c>
      <c r="B18" s="399" t="s">
        <v>583</v>
      </c>
      <c r="C18" s="650" t="s">
        <v>50</v>
      </c>
      <c r="D18" s="204">
        <f>Escavação!F22</f>
        <v>135</v>
      </c>
      <c r="E18" s="844" t="s">
        <v>58</v>
      </c>
      <c r="F18" s="845"/>
      <c r="I18" s="201"/>
      <c r="K18" s="203"/>
      <c r="L18" s="203"/>
      <c r="M18" s="203"/>
      <c r="N18" s="203"/>
      <c r="O18" s="203"/>
    </row>
    <row r="19" spans="1:15" s="200" customFormat="1" ht="18">
      <c r="A19" s="353" t="s">
        <v>198</v>
      </c>
      <c r="B19" s="399" t="s">
        <v>584</v>
      </c>
      <c r="C19" s="650" t="s">
        <v>50</v>
      </c>
      <c r="D19" s="204">
        <f>Escavação!F22</f>
        <v>135</v>
      </c>
      <c r="E19" s="844" t="s">
        <v>58</v>
      </c>
      <c r="F19" s="845"/>
      <c r="I19" s="201"/>
      <c r="K19" s="203"/>
      <c r="L19" s="203"/>
      <c r="M19" s="203"/>
      <c r="N19" s="203"/>
      <c r="O19" s="203"/>
    </row>
    <row r="20" spans="1:15" s="200" customFormat="1" ht="18">
      <c r="A20" s="353" t="s">
        <v>199</v>
      </c>
      <c r="B20" s="399" t="s">
        <v>590</v>
      </c>
      <c r="C20" s="650" t="s">
        <v>50</v>
      </c>
      <c r="D20" s="204">
        <f>Escavação!F23</f>
        <v>28</v>
      </c>
      <c r="E20" s="844" t="s">
        <v>58</v>
      </c>
      <c r="F20" s="845"/>
      <c r="I20" s="201"/>
      <c r="K20" s="203"/>
      <c r="L20" s="203"/>
      <c r="M20" s="203"/>
      <c r="N20" s="203"/>
      <c r="O20" s="203"/>
    </row>
    <row r="21" spans="1:15" s="200" customFormat="1" ht="18">
      <c r="A21" s="353" t="s">
        <v>388</v>
      </c>
      <c r="B21" s="399" t="s">
        <v>591</v>
      </c>
      <c r="C21" s="650" t="s">
        <v>50</v>
      </c>
      <c r="D21" s="204">
        <f>Escavação!F23</f>
        <v>28</v>
      </c>
      <c r="E21" s="844" t="s">
        <v>58</v>
      </c>
      <c r="F21" s="845"/>
      <c r="I21" s="201"/>
      <c r="K21" s="203"/>
      <c r="L21" s="203"/>
      <c r="M21" s="203"/>
      <c r="N21" s="203"/>
      <c r="O21" s="203"/>
    </row>
    <row r="22" spans="1:15" s="200" customFormat="1" ht="18">
      <c r="A22" s="909" t="s">
        <v>389</v>
      </c>
      <c r="B22" s="912" t="s">
        <v>420</v>
      </c>
      <c r="C22" s="915" t="s">
        <v>3</v>
      </c>
      <c r="D22" s="915">
        <f>ROUND((F22+F23),0)</f>
        <v>104</v>
      </c>
      <c r="E22" s="352" t="s">
        <v>423</v>
      </c>
      <c r="F22" s="354">
        <f>(((2*PI()*0.19)+0.3)*D17)*0.3</f>
        <v>25.99221062553571</v>
      </c>
      <c r="G22" s="205"/>
      <c r="I22" s="201"/>
      <c r="K22" s="203"/>
      <c r="L22" s="203"/>
      <c r="M22" s="203"/>
      <c r="N22" s="203"/>
      <c r="O22" s="203"/>
    </row>
    <row r="23" spans="1:15" s="200" customFormat="1" ht="18">
      <c r="A23" s="910"/>
      <c r="B23" s="913"/>
      <c r="C23" s="916"/>
      <c r="D23" s="916"/>
      <c r="E23" s="352" t="s">
        <v>424</v>
      </c>
      <c r="F23" s="354">
        <f>(((2*PI()*0.26)+0.3)*D19)*0.3</f>
        <v>78.31194128460105</v>
      </c>
      <c r="G23" s="205"/>
      <c r="I23" s="201"/>
      <c r="K23" s="203"/>
      <c r="L23" s="203"/>
      <c r="M23" s="203"/>
      <c r="N23" s="203"/>
      <c r="O23" s="203"/>
    </row>
    <row r="24" spans="1:15" s="200" customFormat="1" ht="18">
      <c r="A24" s="911"/>
      <c r="B24" s="914"/>
      <c r="C24" s="917"/>
      <c r="D24" s="917"/>
      <c r="E24" s="352" t="s">
        <v>589</v>
      </c>
      <c r="F24" s="354">
        <f>(((2*PI()*0.39)+0.3)*D20)*0.3</f>
        <v>23.10371506632032</v>
      </c>
      <c r="G24" s="205"/>
      <c r="I24" s="201"/>
      <c r="K24" s="203"/>
      <c r="L24" s="203"/>
      <c r="M24" s="203"/>
      <c r="N24" s="203"/>
      <c r="O24" s="203"/>
    </row>
    <row r="25" spans="1:15" s="200" customFormat="1" ht="18">
      <c r="A25" s="353" t="s">
        <v>390</v>
      </c>
      <c r="B25" s="399" t="s">
        <v>214</v>
      </c>
      <c r="C25" s="592" t="s">
        <v>9</v>
      </c>
      <c r="D25" s="204">
        <f>ROUND(Escavação!R19,1)</f>
        <v>168</v>
      </c>
      <c r="E25" s="844" t="s">
        <v>58</v>
      </c>
      <c r="F25" s="845"/>
      <c r="I25" s="201"/>
      <c r="K25" s="203"/>
      <c r="L25" s="203"/>
      <c r="M25" s="203"/>
      <c r="N25" s="203"/>
      <c r="O25" s="203"/>
    </row>
    <row r="26" spans="1:15" s="200" customFormat="1" ht="18">
      <c r="A26" s="353" t="s">
        <v>585</v>
      </c>
      <c r="B26" s="399" t="s">
        <v>454</v>
      </c>
      <c r="C26" s="592" t="s">
        <v>9</v>
      </c>
      <c r="D26" s="204">
        <f>D14-D25</f>
        <v>50</v>
      </c>
      <c r="E26" s="844" t="s">
        <v>58</v>
      </c>
      <c r="F26" s="845"/>
      <c r="I26" s="201"/>
      <c r="K26" s="203"/>
      <c r="L26" s="203"/>
      <c r="M26" s="203"/>
      <c r="N26" s="203"/>
      <c r="O26" s="203"/>
    </row>
    <row r="27" spans="1:15" s="200" customFormat="1" ht="18">
      <c r="A27" s="353" t="s">
        <v>586</v>
      </c>
      <c r="B27" s="399" t="s">
        <v>418</v>
      </c>
      <c r="C27" s="592" t="s">
        <v>4</v>
      </c>
      <c r="D27" s="204">
        <f>Escavação!F28</f>
        <v>2</v>
      </c>
      <c r="E27" s="844" t="s">
        <v>58</v>
      </c>
      <c r="F27" s="845"/>
      <c r="I27" s="201"/>
      <c r="K27" s="203"/>
      <c r="L27" s="203"/>
      <c r="M27" s="203"/>
      <c r="N27" s="203"/>
      <c r="O27" s="203"/>
    </row>
    <row r="28" spans="1:15" s="200" customFormat="1" ht="18">
      <c r="A28" s="353" t="s">
        <v>587</v>
      </c>
      <c r="B28" s="399" t="s">
        <v>419</v>
      </c>
      <c r="C28" s="592" t="s">
        <v>4</v>
      </c>
      <c r="D28" s="204">
        <f>Escavação!F29</f>
        <v>3</v>
      </c>
      <c r="E28" s="844" t="s">
        <v>58</v>
      </c>
      <c r="F28" s="845"/>
      <c r="I28" s="201"/>
      <c r="K28" s="203"/>
      <c r="L28" s="203"/>
      <c r="M28" s="203"/>
      <c r="N28" s="203"/>
      <c r="O28" s="203"/>
    </row>
    <row r="29" spans="1:15" s="200" customFormat="1" ht="18">
      <c r="A29" s="353" t="s">
        <v>588</v>
      </c>
      <c r="B29" s="399" t="s">
        <v>451</v>
      </c>
      <c r="C29" s="592" t="s">
        <v>4</v>
      </c>
      <c r="D29" s="204">
        <f>Escavação!F38</f>
        <v>12</v>
      </c>
      <c r="E29" s="844" t="s">
        <v>58</v>
      </c>
      <c r="F29" s="845"/>
      <c r="I29" s="201"/>
      <c r="K29" s="203"/>
      <c r="L29" s="203"/>
      <c r="M29" s="203"/>
      <c r="N29" s="203"/>
      <c r="O29" s="203"/>
    </row>
    <row r="30" spans="1:15" s="200" customFormat="1" ht="18.75" thickBot="1">
      <c r="A30" s="355"/>
      <c r="B30" s="404"/>
      <c r="C30" s="593"/>
      <c r="D30" s="206"/>
      <c r="E30" s="884"/>
      <c r="F30" s="885"/>
      <c r="I30" s="201"/>
      <c r="K30" s="203"/>
      <c r="L30" s="203"/>
      <c r="M30" s="203"/>
      <c r="N30" s="203"/>
      <c r="O30" s="203"/>
    </row>
    <row r="31" spans="1:15" s="207" customFormat="1" ht="15.75">
      <c r="A31" s="559" t="s">
        <v>554</v>
      </c>
      <c r="B31" s="560" t="s">
        <v>553</v>
      </c>
      <c r="C31" s="599"/>
      <c r="D31" s="600"/>
      <c r="E31" s="867"/>
      <c r="F31" s="868"/>
      <c r="I31" s="208"/>
      <c r="K31" s="209"/>
      <c r="L31" s="208"/>
      <c r="M31" s="210"/>
      <c r="N31" s="210"/>
      <c r="O31" s="208"/>
    </row>
    <row r="32" spans="1:15" s="200" customFormat="1" ht="18">
      <c r="A32" s="403" t="s">
        <v>57</v>
      </c>
      <c r="B32" s="399" t="s">
        <v>215</v>
      </c>
      <c r="C32" s="516" t="s">
        <v>3</v>
      </c>
      <c r="D32" s="211">
        <v>1445.5</v>
      </c>
      <c r="E32" s="844" t="s">
        <v>414</v>
      </c>
      <c r="F32" s="845"/>
      <c r="H32" s="212"/>
      <c r="I32" s="201"/>
      <c r="K32" s="203"/>
      <c r="L32" s="203"/>
      <c r="M32" s="203"/>
      <c r="N32" s="203"/>
      <c r="O32" s="203"/>
    </row>
    <row r="33" spans="1:15" s="200" customFormat="1" ht="18">
      <c r="A33" s="403" t="s">
        <v>411</v>
      </c>
      <c r="B33" s="399" t="s">
        <v>560</v>
      </c>
      <c r="C33" s="626" t="s">
        <v>50</v>
      </c>
      <c r="D33" s="211">
        <v>363</v>
      </c>
      <c r="E33" s="844" t="s">
        <v>414</v>
      </c>
      <c r="F33" s="845"/>
      <c r="H33" s="212"/>
      <c r="I33" s="201"/>
      <c r="K33" s="203"/>
      <c r="L33" s="203"/>
      <c r="M33" s="203"/>
      <c r="N33" s="203"/>
      <c r="O33" s="203"/>
    </row>
    <row r="34" spans="1:15" s="200" customFormat="1" ht="18">
      <c r="A34" s="403" t="s">
        <v>412</v>
      </c>
      <c r="B34" s="399" t="s">
        <v>602</v>
      </c>
      <c r="C34" s="516" t="s">
        <v>3</v>
      </c>
      <c r="D34" s="211">
        <f>D32</f>
        <v>1445.5</v>
      </c>
      <c r="E34" s="844" t="s">
        <v>414</v>
      </c>
      <c r="F34" s="845"/>
      <c r="H34" s="212"/>
      <c r="I34" s="201"/>
      <c r="K34" s="203"/>
      <c r="L34" s="203"/>
      <c r="M34" s="203"/>
      <c r="N34" s="203"/>
      <c r="O34" s="203"/>
    </row>
    <row r="35" spans="1:15" s="200" customFormat="1" ht="18.75" thickBot="1">
      <c r="A35" s="418"/>
      <c r="B35" s="404"/>
      <c r="C35" s="413"/>
      <c r="D35" s="419"/>
      <c r="E35" s="918"/>
      <c r="F35" s="919"/>
      <c r="H35" s="212"/>
      <c r="I35" s="201"/>
      <c r="K35" s="203"/>
      <c r="L35" s="203"/>
      <c r="M35" s="203"/>
      <c r="N35" s="203"/>
      <c r="O35" s="203"/>
    </row>
    <row r="36" spans="1:15" s="200" customFormat="1" ht="18">
      <c r="A36" s="559" t="s">
        <v>556</v>
      </c>
      <c r="B36" s="560" t="s">
        <v>435</v>
      </c>
      <c r="C36" s="561"/>
      <c r="D36" s="562"/>
      <c r="E36" s="867"/>
      <c r="F36" s="868"/>
      <c r="H36" s="212"/>
      <c r="I36" s="201"/>
      <c r="K36" s="203"/>
      <c r="L36" s="203"/>
      <c r="M36" s="203"/>
      <c r="N36" s="203"/>
      <c r="O36" s="203"/>
    </row>
    <row r="37" spans="1:15" s="200" customFormat="1" ht="18">
      <c r="A37" s="403" t="s">
        <v>147</v>
      </c>
      <c r="B37" s="399" t="s">
        <v>592</v>
      </c>
      <c r="C37" s="650" t="s">
        <v>9</v>
      </c>
      <c r="D37" s="211">
        <f>ROUND(418.7*0.05,0)</f>
        <v>21</v>
      </c>
      <c r="E37" s="844" t="s">
        <v>571</v>
      </c>
      <c r="F37" s="845"/>
      <c r="H37" s="212"/>
      <c r="I37" s="201"/>
      <c r="K37" s="203"/>
      <c r="L37" s="203"/>
      <c r="M37" s="203"/>
      <c r="N37" s="203"/>
      <c r="O37" s="203"/>
    </row>
    <row r="38" spans="1:15" s="200" customFormat="1" ht="18">
      <c r="A38" s="403" t="s">
        <v>392</v>
      </c>
      <c r="B38" s="399" t="s">
        <v>593</v>
      </c>
      <c r="C38" s="650" t="s">
        <v>3</v>
      </c>
      <c r="D38" s="211">
        <v>418.7</v>
      </c>
      <c r="E38" s="844" t="s">
        <v>594</v>
      </c>
      <c r="F38" s="845"/>
      <c r="H38" s="212"/>
      <c r="I38" s="201"/>
      <c r="K38" s="203"/>
      <c r="L38" s="203"/>
      <c r="M38" s="203"/>
      <c r="N38" s="203"/>
      <c r="O38" s="203"/>
    </row>
    <row r="39" spans="1:15" s="200" customFormat="1" ht="18">
      <c r="A39" s="403" t="s">
        <v>437</v>
      </c>
      <c r="B39" s="399" t="s">
        <v>436</v>
      </c>
      <c r="C39" s="412" t="s">
        <v>50</v>
      </c>
      <c r="D39" s="211">
        <v>343</v>
      </c>
      <c r="E39" s="844" t="s">
        <v>414</v>
      </c>
      <c r="F39" s="845"/>
      <c r="H39" s="212"/>
      <c r="I39" s="201"/>
      <c r="K39" s="203"/>
      <c r="L39" s="203"/>
      <c r="M39" s="203"/>
      <c r="N39" s="203"/>
      <c r="O39" s="203"/>
    </row>
    <row r="40" spans="1:15" s="200" customFormat="1" ht="18">
      <c r="A40" s="403" t="s">
        <v>438</v>
      </c>
      <c r="B40" s="399" t="s">
        <v>457</v>
      </c>
      <c r="C40" s="412" t="s">
        <v>3</v>
      </c>
      <c r="D40" s="211">
        <v>302.5</v>
      </c>
      <c r="E40" s="844" t="s">
        <v>414</v>
      </c>
      <c r="F40" s="845"/>
      <c r="H40" s="212"/>
      <c r="I40" s="201"/>
      <c r="K40" s="203"/>
      <c r="L40" s="203"/>
      <c r="M40" s="203"/>
      <c r="N40" s="203"/>
      <c r="O40" s="203"/>
    </row>
    <row r="41" spans="1:15" s="200" customFormat="1" ht="18">
      <c r="A41" s="403" t="s">
        <v>439</v>
      </c>
      <c r="B41" s="399" t="s">
        <v>561</v>
      </c>
      <c r="C41" s="592" t="s">
        <v>3</v>
      </c>
      <c r="D41" s="211">
        <v>60.4</v>
      </c>
      <c r="E41" s="844" t="s">
        <v>414</v>
      </c>
      <c r="F41" s="845"/>
      <c r="H41" s="212"/>
      <c r="I41" s="201"/>
      <c r="K41" s="203"/>
      <c r="L41" s="203"/>
      <c r="M41" s="203"/>
      <c r="N41" s="203"/>
      <c r="O41" s="203"/>
    </row>
    <row r="42" spans="1:15" s="200" customFormat="1" ht="18">
      <c r="A42" s="403" t="s">
        <v>562</v>
      </c>
      <c r="B42" s="399" t="s">
        <v>453</v>
      </c>
      <c r="C42" s="412" t="s">
        <v>3</v>
      </c>
      <c r="D42" s="211">
        <v>6.8</v>
      </c>
      <c r="E42" s="844" t="s">
        <v>414</v>
      </c>
      <c r="F42" s="845"/>
      <c r="H42" s="212"/>
      <c r="I42" s="201"/>
      <c r="K42" s="203"/>
      <c r="L42" s="203"/>
      <c r="M42" s="203"/>
      <c r="N42" s="203"/>
      <c r="O42" s="203"/>
    </row>
    <row r="43" spans="1:15" s="200" customFormat="1" ht="18.75" thickBot="1">
      <c r="A43" s="418"/>
      <c r="B43" s="404"/>
      <c r="C43" s="413"/>
      <c r="D43" s="419"/>
      <c r="E43" s="884"/>
      <c r="F43" s="885"/>
      <c r="H43" s="212"/>
      <c r="I43" s="201"/>
      <c r="K43" s="203"/>
      <c r="L43" s="203"/>
      <c r="M43" s="203"/>
      <c r="N43" s="203"/>
      <c r="O43" s="203"/>
    </row>
    <row r="44" spans="1:15" s="200" customFormat="1" ht="18">
      <c r="A44" s="400" t="s">
        <v>557</v>
      </c>
      <c r="B44" s="401" t="s">
        <v>440</v>
      </c>
      <c r="C44" s="407"/>
      <c r="D44" s="408"/>
      <c r="E44" s="871"/>
      <c r="F44" s="872"/>
      <c r="H44" s="212"/>
      <c r="I44" s="201"/>
      <c r="K44" s="203"/>
      <c r="L44" s="203"/>
      <c r="M44" s="203"/>
      <c r="N44" s="203"/>
      <c r="O44" s="203"/>
    </row>
    <row r="45" spans="1:15" s="200" customFormat="1" ht="18">
      <c r="A45" s="403" t="s">
        <v>444</v>
      </c>
      <c r="B45" s="399" t="s">
        <v>441</v>
      </c>
      <c r="C45" s="412" t="s">
        <v>9</v>
      </c>
      <c r="D45" s="211">
        <f>ROUND(49*0.07,0)</f>
        <v>3</v>
      </c>
      <c r="E45" s="844" t="s">
        <v>572</v>
      </c>
      <c r="F45" s="845"/>
      <c r="H45" s="212"/>
      <c r="I45" s="201"/>
      <c r="K45" s="203"/>
      <c r="L45" s="203"/>
      <c r="M45" s="203"/>
      <c r="N45" s="203"/>
      <c r="O45" s="203"/>
    </row>
    <row r="46" spans="1:15" s="200" customFormat="1" ht="18">
      <c r="A46" s="403" t="s">
        <v>445</v>
      </c>
      <c r="B46" s="399" t="s">
        <v>442</v>
      </c>
      <c r="C46" s="412" t="s">
        <v>3</v>
      </c>
      <c r="D46" s="211">
        <f>ROUNDUP(0.6*0.6*8,1)</f>
        <v>2.9</v>
      </c>
      <c r="E46" s="844" t="s">
        <v>579</v>
      </c>
      <c r="F46" s="845"/>
      <c r="H46" s="212"/>
      <c r="I46" s="201"/>
      <c r="K46" s="203"/>
      <c r="L46" s="203"/>
      <c r="M46" s="203"/>
      <c r="N46" s="203"/>
      <c r="O46" s="203"/>
    </row>
    <row r="47" spans="1:15" s="200" customFormat="1" ht="18">
      <c r="A47" s="403" t="s">
        <v>446</v>
      </c>
      <c r="B47" s="399" t="s">
        <v>443</v>
      </c>
      <c r="C47" s="412" t="s">
        <v>3</v>
      </c>
      <c r="D47" s="211">
        <f>ROUNDUP(0.039*8,1)</f>
        <v>0.4</v>
      </c>
      <c r="E47" s="844" t="s">
        <v>580</v>
      </c>
      <c r="F47" s="845"/>
      <c r="H47" s="212"/>
      <c r="I47" s="201"/>
      <c r="K47" s="203"/>
      <c r="L47" s="203"/>
      <c r="M47" s="203"/>
      <c r="N47" s="203"/>
      <c r="O47" s="203"/>
    </row>
    <row r="48" spans="1:15" s="200" customFormat="1" ht="18.75" thickBot="1">
      <c r="A48" s="418"/>
      <c r="B48" s="404"/>
      <c r="C48" s="413"/>
      <c r="D48" s="419"/>
      <c r="E48" s="884"/>
      <c r="F48" s="885"/>
      <c r="H48" s="212"/>
      <c r="I48" s="201"/>
      <c r="K48" s="203"/>
      <c r="L48" s="203"/>
      <c r="M48" s="203"/>
      <c r="N48" s="203"/>
      <c r="O48" s="203"/>
    </row>
    <row r="49" spans="1:15" s="200" customFormat="1" ht="18">
      <c r="A49" s="405" t="s">
        <v>558</v>
      </c>
      <c r="B49" s="401" t="s">
        <v>391</v>
      </c>
      <c r="C49" s="406"/>
      <c r="D49" s="239"/>
      <c r="E49" s="871"/>
      <c r="F49" s="872"/>
      <c r="G49" s="213"/>
      <c r="H49" s="213"/>
      <c r="I49" s="201"/>
      <c r="K49" s="203"/>
      <c r="L49" s="203"/>
      <c r="M49" s="203"/>
      <c r="N49" s="203"/>
      <c r="O49" s="203"/>
    </row>
    <row r="50" spans="1:15" s="200" customFormat="1" ht="18">
      <c r="A50" s="409" t="s">
        <v>448</v>
      </c>
      <c r="B50" s="399" t="s">
        <v>447</v>
      </c>
      <c r="C50" s="648" t="s">
        <v>3</v>
      </c>
      <c r="D50" s="238">
        <f>ROUNDUP(12.56*4,1)</f>
        <v>50.300000000000004</v>
      </c>
      <c r="E50" s="844" t="s">
        <v>573</v>
      </c>
      <c r="F50" s="845"/>
      <c r="G50" s="213"/>
      <c r="H50" s="213"/>
      <c r="I50" s="201"/>
      <c r="K50" s="203"/>
      <c r="L50" s="203"/>
      <c r="M50" s="203"/>
      <c r="N50" s="203"/>
      <c r="O50" s="203"/>
    </row>
    <row r="51" spans="1:15" s="200" customFormat="1" ht="18">
      <c r="A51" s="409" t="s">
        <v>449</v>
      </c>
      <c r="B51" s="399" t="s">
        <v>606</v>
      </c>
      <c r="C51" s="648" t="s">
        <v>3</v>
      </c>
      <c r="D51" s="238">
        <f>0.3*2</f>
        <v>0.6</v>
      </c>
      <c r="E51" s="844" t="s">
        <v>576</v>
      </c>
      <c r="F51" s="845"/>
      <c r="G51" s="213"/>
      <c r="H51" s="213"/>
      <c r="I51" s="201"/>
      <c r="K51" s="203"/>
      <c r="L51" s="203"/>
      <c r="M51" s="203"/>
      <c r="N51" s="203"/>
      <c r="O51" s="203"/>
    </row>
    <row r="52" spans="1:15" s="200" customFormat="1" ht="18">
      <c r="A52" s="409" t="s">
        <v>450</v>
      </c>
      <c r="B52" s="399" t="s">
        <v>607</v>
      </c>
      <c r="C52" s="648" t="s">
        <v>3</v>
      </c>
      <c r="D52" s="238">
        <f>ROUND(0.29*4,1)</f>
        <v>1.2</v>
      </c>
      <c r="E52" s="844" t="s">
        <v>574</v>
      </c>
      <c r="F52" s="845"/>
      <c r="G52" s="213"/>
      <c r="H52" s="213"/>
      <c r="I52" s="201"/>
      <c r="K52" s="203"/>
      <c r="L52" s="203"/>
      <c r="M52" s="203"/>
      <c r="N52" s="203"/>
      <c r="O52" s="203"/>
    </row>
    <row r="53" spans="1:15" s="200" customFormat="1" ht="18">
      <c r="A53" s="409" t="s">
        <v>452</v>
      </c>
      <c r="B53" s="399" t="s">
        <v>608</v>
      </c>
      <c r="C53" s="648" t="s">
        <v>3</v>
      </c>
      <c r="D53" s="238">
        <f>ROUND(0.36*8,1)</f>
        <v>2.9</v>
      </c>
      <c r="E53" s="844" t="s">
        <v>575</v>
      </c>
      <c r="F53" s="845"/>
      <c r="G53" s="213"/>
      <c r="H53" s="213"/>
      <c r="I53" s="201"/>
      <c r="K53" s="203"/>
      <c r="L53" s="203"/>
      <c r="M53" s="203"/>
      <c r="N53" s="203"/>
      <c r="O53" s="203"/>
    </row>
    <row r="54" spans="1:15" s="200" customFormat="1" ht="18">
      <c r="A54" s="409" t="s">
        <v>456</v>
      </c>
      <c r="B54" s="399" t="s">
        <v>603</v>
      </c>
      <c r="C54" s="648" t="s">
        <v>50</v>
      </c>
      <c r="D54" s="238">
        <f>3.1*14</f>
        <v>43.4</v>
      </c>
      <c r="E54" s="850" t="s">
        <v>605</v>
      </c>
      <c r="F54" s="851"/>
      <c r="G54" s="213"/>
      <c r="H54" s="213"/>
      <c r="I54" s="201"/>
      <c r="K54" s="203"/>
      <c r="L54" s="203"/>
      <c r="M54" s="203"/>
      <c r="N54" s="203"/>
      <c r="O54" s="203"/>
    </row>
    <row r="55" spans="1:15" s="200" customFormat="1" ht="18">
      <c r="A55" s="409" t="s">
        <v>604</v>
      </c>
      <c r="B55" s="399" t="s">
        <v>413</v>
      </c>
      <c r="C55" s="412" t="s">
        <v>4</v>
      </c>
      <c r="D55" s="204">
        <v>2</v>
      </c>
      <c r="E55" s="844" t="s">
        <v>414</v>
      </c>
      <c r="F55" s="845"/>
      <c r="G55" s="213"/>
      <c r="H55" s="213"/>
      <c r="I55" s="201"/>
      <c r="K55" s="203"/>
      <c r="L55" s="203"/>
      <c r="M55" s="203"/>
      <c r="N55" s="203"/>
      <c r="O55" s="203"/>
    </row>
    <row r="56" spans="1:15" s="200" customFormat="1" ht="18.75" thickBot="1">
      <c r="A56" s="410"/>
      <c r="B56" s="404"/>
      <c r="C56" s="413"/>
      <c r="D56" s="206"/>
      <c r="E56" s="884"/>
      <c r="F56" s="885"/>
      <c r="G56" s="213"/>
      <c r="H56" s="213"/>
      <c r="I56" s="201"/>
      <c r="K56" s="203"/>
      <c r="L56" s="203"/>
      <c r="M56" s="203"/>
      <c r="N56" s="203"/>
      <c r="O56" s="203"/>
    </row>
    <row r="57" spans="1:15" s="207" customFormat="1" ht="16.5" thickBot="1">
      <c r="A57" s="214"/>
      <c r="B57" s="215"/>
      <c r="C57" s="216"/>
      <c r="D57" s="217"/>
      <c r="E57" s="218"/>
      <c r="F57" s="218"/>
      <c r="I57" s="208"/>
      <c r="K57" s="209"/>
      <c r="L57" s="208"/>
      <c r="M57" s="210"/>
      <c r="N57" s="210"/>
      <c r="O57" s="208"/>
    </row>
    <row r="58" spans="1:15" s="207" customFormat="1" ht="15.75">
      <c r="A58" s="848" t="str">
        <f>'dados de entrada'!B15</f>
        <v>PREFEITURA MUNICIPAL DE BOMBINHAS</v>
      </c>
      <c r="B58" s="849"/>
      <c r="C58" s="887" t="s">
        <v>202</v>
      </c>
      <c r="D58" s="888"/>
      <c r="E58" s="888"/>
      <c r="F58" s="908"/>
      <c r="G58" s="194"/>
      <c r="H58" s="194"/>
      <c r="I58" s="208"/>
      <c r="K58" s="209"/>
      <c r="L58" s="208"/>
      <c r="M58" s="210"/>
      <c r="N58" s="210"/>
      <c r="O58" s="208"/>
    </row>
    <row r="59" spans="1:15" s="207" customFormat="1" ht="15.75">
      <c r="A59" s="836"/>
      <c r="B59" s="837"/>
      <c r="C59" s="838"/>
      <c r="D59" s="839"/>
      <c r="E59" s="839"/>
      <c r="F59" s="840"/>
      <c r="G59" s="219"/>
      <c r="H59" s="219"/>
      <c r="I59" s="208"/>
      <c r="K59" s="209"/>
      <c r="L59" s="208"/>
      <c r="M59" s="210"/>
      <c r="N59" s="210"/>
      <c r="O59" s="208"/>
    </row>
    <row r="60" spans="1:15" s="207" customFormat="1" ht="15.75" customHeight="1">
      <c r="A60" s="836"/>
      <c r="B60" s="837"/>
      <c r="C60" s="903" t="s">
        <v>206</v>
      </c>
      <c r="D60" s="904"/>
      <c r="E60" s="904"/>
      <c r="F60" s="905"/>
      <c r="G60" s="220"/>
      <c r="H60" s="221"/>
      <c r="I60" s="208"/>
      <c r="K60" s="209"/>
      <c r="L60" s="208"/>
      <c r="M60" s="210"/>
      <c r="N60" s="210"/>
      <c r="O60" s="208"/>
    </row>
    <row r="61" spans="1:15" s="207" customFormat="1" ht="15.75">
      <c r="A61" s="836"/>
      <c r="B61" s="837"/>
      <c r="C61" s="841" t="s">
        <v>205</v>
      </c>
      <c r="D61" s="842"/>
      <c r="E61" s="842"/>
      <c r="F61" s="843"/>
      <c r="G61" s="222"/>
      <c r="H61" s="223"/>
      <c r="I61" s="208"/>
      <c r="K61" s="209"/>
      <c r="L61" s="208"/>
      <c r="M61" s="210"/>
      <c r="N61" s="210"/>
      <c r="O61" s="208"/>
    </row>
    <row r="62" spans="1:15" s="207" customFormat="1" ht="15.75">
      <c r="A62" s="836"/>
      <c r="B62" s="837"/>
      <c r="C62" s="838"/>
      <c r="D62" s="839"/>
      <c r="E62" s="839"/>
      <c r="F62" s="840"/>
      <c r="G62" s="224"/>
      <c r="H62" s="224"/>
      <c r="I62" s="208"/>
      <c r="K62" s="209"/>
      <c r="L62" s="208"/>
      <c r="M62" s="210"/>
      <c r="N62" s="210"/>
      <c r="O62" s="208"/>
    </row>
    <row r="63" spans="1:15" s="207" customFormat="1" ht="15.75">
      <c r="A63" s="836"/>
      <c r="B63" s="837"/>
      <c r="C63" s="838"/>
      <c r="D63" s="839"/>
      <c r="E63" s="839"/>
      <c r="F63" s="840"/>
      <c r="G63" s="224"/>
      <c r="H63" s="224"/>
      <c r="I63" s="208"/>
      <c r="K63" s="209"/>
      <c r="L63" s="208"/>
      <c r="M63" s="210"/>
      <c r="N63" s="210"/>
      <c r="O63" s="208"/>
    </row>
    <row r="64" spans="1:15" s="207" customFormat="1" ht="15.75">
      <c r="A64" s="836"/>
      <c r="B64" s="837"/>
      <c r="C64" s="838"/>
      <c r="D64" s="839"/>
      <c r="E64" s="839"/>
      <c r="F64" s="840"/>
      <c r="G64" s="224"/>
      <c r="H64" s="224"/>
      <c r="I64" s="208"/>
      <c r="K64" s="209"/>
      <c r="L64" s="208"/>
      <c r="M64" s="210"/>
      <c r="N64" s="210"/>
      <c r="O64" s="208"/>
    </row>
    <row r="65" spans="1:15" s="207" customFormat="1" ht="15.75">
      <c r="A65" s="836" t="s">
        <v>203</v>
      </c>
      <c r="B65" s="837"/>
      <c r="C65" s="836" t="s">
        <v>204</v>
      </c>
      <c r="D65" s="907"/>
      <c r="E65" s="907"/>
      <c r="F65" s="837"/>
      <c r="G65" s="194"/>
      <c r="H65" s="194"/>
      <c r="I65" s="208"/>
      <c r="K65" s="209"/>
      <c r="L65" s="208"/>
      <c r="M65" s="210"/>
      <c r="N65" s="210"/>
      <c r="O65" s="208"/>
    </row>
    <row r="66" spans="1:15" s="207" customFormat="1" ht="16.5">
      <c r="A66" s="846" t="str">
        <f>'dados de entrada'!B5</f>
        <v>Ana Paula da Silva</v>
      </c>
      <c r="B66" s="847"/>
      <c r="C66" s="846" t="str">
        <f>'dados de entrada'!B6</f>
        <v>Carlos Alberto Bley</v>
      </c>
      <c r="D66" s="906"/>
      <c r="E66" s="906"/>
      <c r="F66" s="847"/>
      <c r="G66" s="225"/>
      <c r="H66" s="225"/>
      <c r="I66" s="208"/>
      <c r="K66" s="209"/>
      <c r="L66" s="208"/>
      <c r="M66" s="210"/>
      <c r="N66" s="210"/>
      <c r="O66" s="208"/>
    </row>
    <row r="67" spans="1:15" s="207" customFormat="1" ht="16.5" thickBot="1">
      <c r="A67" s="861" t="s">
        <v>548</v>
      </c>
      <c r="B67" s="862"/>
      <c r="C67" s="856" t="str">
        <f>'dados de entrada'!B17</f>
        <v>Engenheiro Civil - CREA SC 008.333-3</v>
      </c>
      <c r="D67" s="857"/>
      <c r="E67" s="857"/>
      <c r="F67" s="858"/>
      <c r="G67" s="226"/>
      <c r="H67" s="226"/>
      <c r="I67" s="208"/>
      <c r="K67" s="209"/>
      <c r="L67" s="208"/>
      <c r="M67" s="210"/>
      <c r="N67" s="210"/>
      <c r="O67" s="208"/>
    </row>
    <row r="68" spans="1:15" s="207" customFormat="1" ht="15.75">
      <c r="A68" s="214"/>
      <c r="B68" s="215"/>
      <c r="C68" s="216"/>
      <c r="D68" s="217"/>
      <c r="E68" s="218"/>
      <c r="F68" s="218"/>
      <c r="G68" s="227"/>
      <c r="H68" s="227"/>
      <c r="I68" s="208"/>
      <c r="K68" s="209"/>
      <c r="L68" s="208"/>
      <c r="M68" s="210"/>
      <c r="N68" s="210"/>
      <c r="O68" s="208"/>
    </row>
    <row r="69" spans="1:15" s="207" customFormat="1" ht="15.75">
      <c r="A69" s="214"/>
      <c r="B69" s="215"/>
      <c r="C69" s="216"/>
      <c r="D69" s="217"/>
      <c r="E69" s="218"/>
      <c r="F69" s="218"/>
      <c r="I69" s="208"/>
      <c r="K69" s="209"/>
      <c r="L69" s="208"/>
      <c r="M69" s="210"/>
      <c r="N69" s="210"/>
      <c r="O69" s="208"/>
    </row>
    <row r="70" spans="1:15" s="12" customFormat="1" ht="15.75">
      <c r="A70" s="118"/>
      <c r="B70" s="174"/>
      <c r="C70" s="175"/>
      <c r="D70" s="176"/>
      <c r="E70" s="177"/>
      <c r="F70" s="177"/>
      <c r="I70" s="13"/>
      <c r="K70" s="18"/>
      <c r="L70" s="13"/>
      <c r="M70" s="16"/>
      <c r="N70" s="16"/>
      <c r="O70" s="13"/>
    </row>
    <row r="71" spans="1:15" s="12" customFormat="1" ht="15.75">
      <c r="A71" s="118"/>
      <c r="B71" s="174"/>
      <c r="C71" s="175"/>
      <c r="D71" s="176"/>
      <c r="E71" s="177"/>
      <c r="F71" s="177"/>
      <c r="I71" s="13"/>
      <c r="K71" s="18"/>
      <c r="L71" s="13"/>
      <c r="M71" s="16"/>
      <c r="N71" s="16"/>
      <c r="O71" s="13"/>
    </row>
    <row r="72" spans="1:15" s="12" customFormat="1" ht="15.75">
      <c r="A72" s="118"/>
      <c r="B72" s="174"/>
      <c r="C72" s="175"/>
      <c r="D72" s="176"/>
      <c r="E72" s="177"/>
      <c r="F72" s="177"/>
      <c r="I72" s="13"/>
      <c r="K72" s="18"/>
      <c r="L72" s="13"/>
      <c r="M72" s="16"/>
      <c r="N72" s="16"/>
      <c r="O72" s="13"/>
    </row>
    <row r="73" spans="1:15" s="12" customFormat="1" ht="15.75">
      <c r="A73" s="118"/>
      <c r="B73" s="174"/>
      <c r="C73" s="175"/>
      <c r="D73" s="176"/>
      <c r="E73" s="177"/>
      <c r="F73" s="177"/>
      <c r="I73" s="13"/>
      <c r="K73" s="18"/>
      <c r="L73" s="13"/>
      <c r="M73" s="16"/>
      <c r="N73" s="16"/>
      <c r="O73" s="13"/>
    </row>
    <row r="74" spans="1:15" s="12" customFormat="1" ht="15.75">
      <c r="A74" s="118"/>
      <c r="B74" s="174"/>
      <c r="C74" s="175"/>
      <c r="D74" s="176"/>
      <c r="E74" s="177"/>
      <c r="F74" s="177"/>
      <c r="I74" s="13"/>
      <c r="K74" s="18"/>
      <c r="L74" s="13"/>
      <c r="M74" s="16"/>
      <c r="N74" s="16"/>
      <c r="O74" s="13"/>
    </row>
    <row r="75" spans="1:15" s="12" customFormat="1" ht="15.75">
      <c r="A75" s="118"/>
      <c r="B75" s="174"/>
      <c r="C75" s="175"/>
      <c r="D75" s="176"/>
      <c r="E75" s="177"/>
      <c r="F75" s="177"/>
      <c r="I75" s="13"/>
      <c r="K75" s="18"/>
      <c r="L75" s="13"/>
      <c r="M75" s="16"/>
      <c r="N75" s="16"/>
      <c r="O75" s="13"/>
    </row>
    <row r="76" spans="1:15" s="12" customFormat="1" ht="15.75">
      <c r="A76" s="118"/>
      <c r="B76" s="174"/>
      <c r="C76" s="175"/>
      <c r="D76" s="176"/>
      <c r="E76" s="177"/>
      <c r="F76" s="177"/>
      <c r="I76" s="13"/>
      <c r="K76" s="18"/>
      <c r="L76" s="13"/>
      <c r="M76" s="16"/>
      <c r="N76" s="16"/>
      <c r="O76" s="13"/>
    </row>
    <row r="77" spans="1:15" s="12" customFormat="1" ht="15.75">
      <c r="A77" s="118"/>
      <c r="B77" s="174"/>
      <c r="C77" s="175"/>
      <c r="D77" s="176"/>
      <c r="E77" s="177"/>
      <c r="F77" s="177"/>
      <c r="I77" s="13"/>
      <c r="K77" s="18"/>
      <c r="L77" s="13"/>
      <c r="M77" s="16"/>
      <c r="N77" s="16"/>
      <c r="O77" s="13"/>
    </row>
    <row r="78" spans="1:15" s="12" customFormat="1" ht="15.75">
      <c r="A78" s="118"/>
      <c r="B78" s="174"/>
      <c r="C78" s="175"/>
      <c r="D78" s="176"/>
      <c r="E78" s="177"/>
      <c r="F78" s="177"/>
      <c r="I78" s="13"/>
      <c r="K78" s="18"/>
      <c r="L78" s="13"/>
      <c r="M78" s="16"/>
      <c r="N78" s="16"/>
      <c r="O78" s="13"/>
    </row>
    <row r="79" spans="1:15" s="12" customFormat="1" ht="15.75">
      <c r="A79" s="118"/>
      <c r="B79" s="174"/>
      <c r="C79" s="175"/>
      <c r="D79" s="176"/>
      <c r="E79" s="177"/>
      <c r="F79" s="177"/>
      <c r="I79" s="13"/>
      <c r="K79" s="18"/>
      <c r="L79" s="13"/>
      <c r="M79" s="16"/>
      <c r="N79" s="16"/>
      <c r="O79" s="13"/>
    </row>
    <row r="80" spans="1:15" s="12" customFormat="1" ht="15.75">
      <c r="A80" s="118"/>
      <c r="B80" s="174"/>
      <c r="C80" s="175"/>
      <c r="D80" s="176"/>
      <c r="E80" s="177"/>
      <c r="F80" s="177"/>
      <c r="I80" s="13"/>
      <c r="K80" s="18"/>
      <c r="L80" s="13"/>
      <c r="M80" s="16"/>
      <c r="N80" s="16"/>
      <c r="O80" s="13"/>
    </row>
    <row r="81" spans="1:15" s="3" customFormat="1" ht="16.5" thickBot="1">
      <c r="A81" s="863"/>
      <c r="B81" s="863"/>
      <c r="C81" s="20"/>
      <c r="D81" s="63"/>
      <c r="E81" s="21"/>
      <c r="F81" s="22"/>
      <c r="K81" s="17"/>
      <c r="L81" s="7"/>
      <c r="M81" s="14"/>
      <c r="N81" s="14"/>
      <c r="O81" s="7"/>
    </row>
    <row r="82" spans="1:6" ht="12.75">
      <c r="A82" s="859" t="s">
        <v>11</v>
      </c>
      <c r="B82" s="860"/>
      <c r="C82" s="873" t="s">
        <v>12</v>
      </c>
      <c r="D82" s="874"/>
      <c r="E82" s="860"/>
      <c r="F82" s="1" t="s">
        <v>13</v>
      </c>
    </row>
    <row r="83" spans="1:15" ht="12.75">
      <c r="A83" s="880"/>
      <c r="B83" s="881"/>
      <c r="C83" s="853" t="s">
        <v>14</v>
      </c>
      <c r="D83" s="854"/>
      <c r="E83" s="855"/>
      <c r="F83" s="852">
        <f>'dados de entrada'!B3</f>
        <v>41671</v>
      </c>
      <c r="K83"/>
      <c r="L83"/>
      <c r="M83"/>
      <c r="N83"/>
      <c r="O83"/>
    </row>
    <row r="84" spans="1:15" ht="12.75">
      <c r="A84" s="880"/>
      <c r="B84" s="881"/>
      <c r="C84" s="853"/>
      <c r="D84" s="854"/>
      <c r="E84" s="855"/>
      <c r="F84" s="852"/>
      <c r="K84"/>
      <c r="L84"/>
      <c r="M84"/>
      <c r="N84"/>
      <c r="O84"/>
    </row>
    <row r="85" spans="1:15" ht="12.75">
      <c r="A85" s="880"/>
      <c r="B85" s="881"/>
      <c r="C85" s="853"/>
      <c r="D85" s="854"/>
      <c r="E85" s="855"/>
      <c r="F85" s="852"/>
      <c r="K85"/>
      <c r="L85"/>
      <c r="M85"/>
      <c r="N85"/>
      <c r="O85"/>
    </row>
    <row r="86" spans="1:15" ht="34.5" customHeight="1">
      <c r="A86" s="880"/>
      <c r="B86" s="881"/>
      <c r="C86" s="853"/>
      <c r="D86" s="854"/>
      <c r="E86" s="855"/>
      <c r="F86" s="852"/>
      <c r="K86"/>
      <c r="L86"/>
      <c r="M86"/>
      <c r="N86"/>
      <c r="O86"/>
    </row>
    <row r="87" spans="1:15" ht="12.75">
      <c r="A87" s="880"/>
      <c r="B87" s="881"/>
      <c r="C87" s="853"/>
      <c r="D87" s="854"/>
      <c r="E87" s="855"/>
      <c r="F87" s="852"/>
      <c r="K87"/>
      <c r="L87"/>
      <c r="M87"/>
      <c r="N87"/>
      <c r="O87"/>
    </row>
    <row r="88" spans="1:15" ht="13.5" thickBot="1">
      <c r="A88" s="875" t="str">
        <f>'dados de entrada'!B17</f>
        <v>Engenheiro Civil - CREA SC 008.333-3</v>
      </c>
      <c r="B88" s="876"/>
      <c r="C88" s="877"/>
      <c r="D88" s="878"/>
      <c r="E88" s="879"/>
      <c r="F88" s="4"/>
      <c r="K88"/>
      <c r="L88"/>
      <c r="M88"/>
      <c r="N88"/>
      <c r="O88"/>
    </row>
    <row r="89" spans="1:15" ht="12.75">
      <c r="A89" s="859" t="s">
        <v>15</v>
      </c>
      <c r="B89" s="860"/>
      <c r="C89" s="873" t="s">
        <v>12</v>
      </c>
      <c r="D89" s="874"/>
      <c r="E89" s="860"/>
      <c r="F89" s="5"/>
      <c r="K89"/>
      <c r="L89"/>
      <c r="M89"/>
      <c r="N89"/>
      <c r="O89"/>
    </row>
    <row r="90" spans="1:15" ht="12.75" customHeight="1">
      <c r="A90" s="172"/>
      <c r="B90" s="173"/>
      <c r="C90" s="853" t="s">
        <v>14</v>
      </c>
      <c r="D90" s="854"/>
      <c r="E90" s="855"/>
      <c r="F90" s="852">
        <f>'dados de entrada'!B3</f>
        <v>41671</v>
      </c>
      <c r="K90"/>
      <c r="L90"/>
      <c r="M90"/>
      <c r="N90"/>
      <c r="O90"/>
    </row>
    <row r="91" spans="1:15" ht="12.75" customHeight="1">
      <c r="A91" s="172"/>
      <c r="B91" s="173"/>
      <c r="C91" s="853"/>
      <c r="D91" s="854"/>
      <c r="E91" s="855"/>
      <c r="F91" s="852"/>
      <c r="K91"/>
      <c r="L91"/>
      <c r="M91"/>
      <c r="N91"/>
      <c r="O91"/>
    </row>
    <row r="92" spans="1:15" ht="12.75" customHeight="1">
      <c r="A92" s="172"/>
      <c r="B92" s="173"/>
      <c r="C92" s="853"/>
      <c r="D92" s="854"/>
      <c r="E92" s="855"/>
      <c r="F92" s="852"/>
      <c r="K92"/>
      <c r="L92"/>
      <c r="M92"/>
      <c r="N92"/>
      <c r="O92"/>
    </row>
    <row r="93" spans="1:15" ht="39" customHeight="1">
      <c r="A93" s="172"/>
      <c r="B93" s="173"/>
      <c r="C93" s="853"/>
      <c r="D93" s="854"/>
      <c r="E93" s="855"/>
      <c r="F93" s="852"/>
      <c r="K93"/>
      <c r="L93"/>
      <c r="M93"/>
      <c r="N93"/>
      <c r="O93"/>
    </row>
    <row r="94" spans="1:15" ht="12.75" customHeight="1">
      <c r="A94" s="880" t="str">
        <f>'dados de entrada'!B5</f>
        <v>Ana Paula da Silva</v>
      </c>
      <c r="B94" s="881"/>
      <c r="C94" s="853"/>
      <c r="D94" s="854"/>
      <c r="E94" s="855"/>
      <c r="F94" s="852"/>
      <c r="K94"/>
      <c r="L94"/>
      <c r="M94"/>
      <c r="N94"/>
      <c r="O94"/>
    </row>
    <row r="95" spans="1:15" ht="13.5" thickBot="1">
      <c r="A95" s="875" t="s">
        <v>16</v>
      </c>
      <c r="B95" s="876"/>
      <c r="C95" s="877"/>
      <c r="D95" s="878"/>
      <c r="E95" s="879"/>
      <c r="F95" s="2"/>
      <c r="K95"/>
      <c r="L95"/>
      <c r="M95"/>
      <c r="N95"/>
      <c r="O95"/>
    </row>
  </sheetData>
  <sheetProtection/>
  <mergeCells count="94">
    <mergeCell ref="E55:F55"/>
    <mergeCell ref="E43:F43"/>
    <mergeCell ref="E38:F38"/>
    <mergeCell ref="A22:A24"/>
    <mergeCell ref="B22:B24"/>
    <mergeCell ref="C22:C24"/>
    <mergeCell ref="D22:D24"/>
    <mergeCell ref="E28:F28"/>
    <mergeCell ref="E35:F35"/>
    <mergeCell ref="E46:F46"/>
    <mergeCell ref="C59:F59"/>
    <mergeCell ref="C60:F60"/>
    <mergeCell ref="A63:B63"/>
    <mergeCell ref="A61:B61"/>
    <mergeCell ref="E56:F56"/>
    <mergeCell ref="C66:F66"/>
    <mergeCell ref="C65:F65"/>
    <mergeCell ref="A64:B64"/>
    <mergeCell ref="C58:F58"/>
    <mergeCell ref="A60:B60"/>
    <mergeCell ref="E21:F21"/>
    <mergeCell ref="E15:F15"/>
    <mergeCell ref="E47:F47"/>
    <mergeCell ref="E49:F49"/>
    <mergeCell ref="E39:F39"/>
    <mergeCell ref="E45:F45"/>
    <mergeCell ref="E42:F42"/>
    <mergeCell ref="E41:F41"/>
    <mergeCell ref="E34:F34"/>
    <mergeCell ref="E18:F18"/>
    <mergeCell ref="C8:F8"/>
    <mergeCell ref="E12:F12"/>
    <mergeCell ref="E16:F16"/>
    <mergeCell ref="A2:F2"/>
    <mergeCell ref="A4:E4"/>
    <mergeCell ref="E11:F11"/>
    <mergeCell ref="E6:F6"/>
    <mergeCell ref="E5:F5"/>
    <mergeCell ref="A7:D7"/>
    <mergeCell ref="B5:D5"/>
    <mergeCell ref="E44:F44"/>
    <mergeCell ref="E30:F30"/>
    <mergeCell ref="E36:F36"/>
    <mergeCell ref="E14:F14"/>
    <mergeCell ref="E26:F26"/>
    <mergeCell ref="A1:F1"/>
    <mergeCell ref="E32:F32"/>
    <mergeCell ref="A3:E3"/>
    <mergeCell ref="E25:F25"/>
    <mergeCell ref="E27:F27"/>
    <mergeCell ref="F90:F94"/>
    <mergeCell ref="A83:B87"/>
    <mergeCell ref="A62:B62"/>
    <mergeCell ref="E20:F20"/>
    <mergeCell ref="E29:F29"/>
    <mergeCell ref="E13:F13"/>
    <mergeCell ref="E19:F19"/>
    <mergeCell ref="E52:F52"/>
    <mergeCell ref="E37:F37"/>
    <mergeCell ref="E48:F48"/>
    <mergeCell ref="A95:B95"/>
    <mergeCell ref="C95:E95"/>
    <mergeCell ref="A88:B88"/>
    <mergeCell ref="C88:E88"/>
    <mergeCell ref="A89:B89"/>
    <mergeCell ref="A94:B94"/>
    <mergeCell ref="K9:O9"/>
    <mergeCell ref="E31:F31"/>
    <mergeCell ref="E9:F9"/>
    <mergeCell ref="E10:F10"/>
    <mergeCell ref="C90:E94"/>
    <mergeCell ref="C89:E89"/>
    <mergeCell ref="E17:F17"/>
    <mergeCell ref="E33:F33"/>
    <mergeCell ref="E53:F53"/>
    <mergeCell ref="C82:E82"/>
    <mergeCell ref="F83:F87"/>
    <mergeCell ref="C83:E87"/>
    <mergeCell ref="C63:F63"/>
    <mergeCell ref="C67:F67"/>
    <mergeCell ref="A82:B82"/>
    <mergeCell ref="A65:B65"/>
    <mergeCell ref="A67:B67"/>
    <mergeCell ref="A81:B81"/>
    <mergeCell ref="A59:B59"/>
    <mergeCell ref="C62:F62"/>
    <mergeCell ref="C61:F61"/>
    <mergeCell ref="E40:F40"/>
    <mergeCell ref="C64:F64"/>
    <mergeCell ref="A66:B66"/>
    <mergeCell ref="E51:F51"/>
    <mergeCell ref="A58:B58"/>
    <mergeCell ref="E54:F54"/>
    <mergeCell ref="E50:F50"/>
  </mergeCells>
  <printOptions horizontalCentered="1"/>
  <pageMargins left="0.7874015748031497" right="0.3937007874015748" top="0.3937007874015748" bottom="0.3937007874015748" header="0.15748031496062992" footer="0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showGridLines="0" tabSelected="1" view="pageBreakPreview" zoomScale="90" zoomScaleSheetLayoutView="90" zoomScalePageLayoutView="0" workbookViewId="0" topLeftCell="A19">
      <selection activeCell="B57" sqref="B57:C57"/>
    </sheetView>
  </sheetViews>
  <sheetFormatPr defaultColWidth="9.140625" defaultRowHeight="12.75"/>
  <cols>
    <col min="1" max="1" width="18.00390625" style="0" customWidth="1"/>
    <col min="2" max="2" width="15.8515625" style="0" customWidth="1"/>
    <col min="3" max="3" width="87.710937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  <col min="11" max="11" width="10.28125" style="594" bestFit="1" customWidth="1"/>
    <col min="12" max="12" width="12.28125" style="596" bestFit="1" customWidth="1"/>
    <col min="15" max="15" width="11.00390625" style="0" bestFit="1" customWidth="1"/>
  </cols>
  <sheetData>
    <row r="1" spans="1:9" ht="36" customHeight="1">
      <c r="A1" s="923"/>
      <c r="B1" s="924"/>
      <c r="C1" s="924"/>
      <c r="D1" s="924"/>
      <c r="E1" s="924"/>
      <c r="F1" s="924"/>
      <c r="G1" s="925"/>
      <c r="H1" s="422"/>
      <c r="I1" s="926" t="s">
        <v>463</v>
      </c>
    </row>
    <row r="2" spans="1:9" ht="36" customHeight="1">
      <c r="A2" s="928" t="s">
        <v>464</v>
      </c>
      <c r="B2" s="929"/>
      <c r="C2" s="929"/>
      <c r="D2" s="929"/>
      <c r="E2" s="929"/>
      <c r="F2" s="929"/>
      <c r="G2" s="930"/>
      <c r="H2" s="423"/>
      <c r="I2" s="927"/>
    </row>
    <row r="3" spans="1:9" ht="13.5" customHeight="1">
      <c r="A3" s="939" t="s">
        <v>465</v>
      </c>
      <c r="B3" s="934" t="str">
        <f>'dados de entrada'!B4</f>
        <v>BOMBINHAS</v>
      </c>
      <c r="C3" s="934"/>
      <c r="D3" s="934"/>
      <c r="E3" s="934"/>
      <c r="F3" s="934"/>
      <c r="G3" s="935"/>
      <c r="H3" s="424"/>
      <c r="I3" s="425" t="s">
        <v>466</v>
      </c>
    </row>
    <row r="4" spans="1:9" ht="12.75" customHeight="1">
      <c r="A4" s="940"/>
      <c r="B4" s="937"/>
      <c r="C4" s="937"/>
      <c r="D4" s="937"/>
      <c r="E4" s="937"/>
      <c r="F4" s="937"/>
      <c r="G4" s="938"/>
      <c r="H4" s="426"/>
      <c r="I4" s="427"/>
    </row>
    <row r="5" spans="1:9" ht="14.25" customHeight="1">
      <c r="A5" s="931" t="s">
        <v>17</v>
      </c>
      <c r="B5" s="933" t="str">
        <f>'dados de entrada'!B8</f>
        <v>PAVIMENTAÇÃO COM LAJOTAS SEXTAVADAS E DRENAGEM PLUVIAL </v>
      </c>
      <c r="C5" s="934"/>
      <c r="D5" s="934"/>
      <c r="E5" s="934"/>
      <c r="F5" s="934"/>
      <c r="G5" s="935"/>
      <c r="H5" s="428"/>
      <c r="I5" s="425" t="s">
        <v>467</v>
      </c>
    </row>
    <row r="6" spans="1:9" ht="18">
      <c r="A6" s="932"/>
      <c r="B6" s="936"/>
      <c r="C6" s="937"/>
      <c r="D6" s="937"/>
      <c r="E6" s="937"/>
      <c r="F6" s="937"/>
      <c r="G6" s="938"/>
      <c r="H6" s="429"/>
      <c r="I6" s="517">
        <f>'dados de entrada'!B3</f>
        <v>41671</v>
      </c>
    </row>
    <row r="7" spans="1:9" ht="15.75" customHeight="1">
      <c r="A7" s="430" t="s">
        <v>200</v>
      </c>
      <c r="B7" s="920" t="str">
        <f>'dados de entrada'!C19</f>
        <v>RUA CANGURU - BAIRRO JOSÉ AMANDIO</v>
      </c>
      <c r="C7" s="921"/>
      <c r="D7" s="921"/>
      <c r="E7" s="921"/>
      <c r="F7" s="921"/>
      <c r="G7" s="921"/>
      <c r="H7" s="921"/>
      <c r="I7" s="922"/>
    </row>
    <row r="8" spans="1:9" ht="15.75">
      <c r="A8" s="966" t="s">
        <v>468</v>
      </c>
      <c r="B8" s="967"/>
      <c r="C8" s="968" t="str">
        <f>'dados de entrada'!B9</f>
        <v>SINAPI - 01/01/2014 - COM DESONERAÇÃO - SICRO 01/11/2013</v>
      </c>
      <c r="D8" s="968"/>
      <c r="E8" s="968"/>
      <c r="F8" s="968"/>
      <c r="G8" s="968"/>
      <c r="H8" s="968"/>
      <c r="I8" s="969"/>
    </row>
    <row r="9" spans="1:9" ht="10.5" customHeight="1" thickBot="1">
      <c r="A9" s="431"/>
      <c r="B9" s="432"/>
      <c r="C9" s="432"/>
      <c r="D9" s="432"/>
      <c r="E9" s="432"/>
      <c r="F9" s="432"/>
      <c r="G9" s="432"/>
      <c r="H9" s="432"/>
      <c r="I9" s="433"/>
    </row>
    <row r="10" spans="1:9" ht="21" customHeight="1">
      <c r="A10" s="954" t="s">
        <v>0</v>
      </c>
      <c r="B10" s="956" t="s">
        <v>469</v>
      </c>
      <c r="C10" s="956" t="s">
        <v>1</v>
      </c>
      <c r="D10" s="956" t="s">
        <v>32</v>
      </c>
      <c r="E10" s="956" t="s">
        <v>148</v>
      </c>
      <c r="F10" s="956" t="s">
        <v>470</v>
      </c>
      <c r="G10" s="956" t="s">
        <v>471</v>
      </c>
      <c r="H10" s="956" t="s">
        <v>472</v>
      </c>
      <c r="I10" s="970" t="s">
        <v>473</v>
      </c>
    </row>
    <row r="11" spans="1:9" ht="20.25" customHeight="1" thickBot="1">
      <c r="A11" s="955"/>
      <c r="B11" s="957"/>
      <c r="C11" s="957"/>
      <c r="D11" s="957"/>
      <c r="E11" s="957"/>
      <c r="F11" s="957"/>
      <c r="G11" s="957"/>
      <c r="H11" s="957"/>
      <c r="I11" s="971"/>
    </row>
    <row r="12" spans="1:9" ht="12.75">
      <c r="A12" s="526" t="str">
        <f>MEMORIAL!A10</f>
        <v>1.0</v>
      </c>
      <c r="B12" s="527"/>
      <c r="C12" s="528" t="str">
        <f>MEMORIAL!B10</f>
        <v>SERVIÇOS INICIAIS</v>
      </c>
      <c r="D12" s="529"/>
      <c r="E12" s="530"/>
      <c r="F12" s="530"/>
      <c r="G12" s="531"/>
      <c r="H12" s="532"/>
      <c r="I12" s="540">
        <f>SUM(I13)</f>
        <v>1372.95</v>
      </c>
    </row>
    <row r="13" spans="1:9" ht="12.75">
      <c r="A13" s="434" t="str">
        <f>MEMORIAL!A11</f>
        <v>1.1</v>
      </c>
      <c r="B13" s="437" t="s">
        <v>152</v>
      </c>
      <c r="C13" s="436" t="str">
        <f>MEMORIAL!B11</f>
        <v>Placa de obra</v>
      </c>
      <c r="D13" s="442" t="str">
        <f>MEMORIAL!C11</f>
        <v>m2</v>
      </c>
      <c r="E13" s="438">
        <f>MEMORIAL!D11</f>
        <v>3</v>
      </c>
      <c r="F13" s="438">
        <v>366.12</v>
      </c>
      <c r="G13" s="439">
        <f>'dados de entrada'!B10</f>
        <v>0.25</v>
      </c>
      <c r="H13" s="440">
        <f>ROUND(F13*(1+G13),2)</f>
        <v>457.65</v>
      </c>
      <c r="I13" s="441">
        <f>ROUND(H13*E13,2)</f>
        <v>1372.95</v>
      </c>
    </row>
    <row r="14" spans="1:9" ht="13.5" thickBot="1">
      <c r="A14" s="541"/>
      <c r="B14" s="542"/>
      <c r="C14" s="543"/>
      <c r="D14" s="544"/>
      <c r="E14" s="545"/>
      <c r="F14" s="545"/>
      <c r="G14" s="546"/>
      <c r="H14" s="547"/>
      <c r="I14" s="548"/>
    </row>
    <row r="15" spans="1:9" ht="12.75">
      <c r="A15" s="526" t="str">
        <f>MEMORIAL!A13</f>
        <v>2.0</v>
      </c>
      <c r="B15" s="527"/>
      <c r="C15" s="528" t="str">
        <f>MEMORIAL!B13</f>
        <v>SERVIÇOS EM DRENAGEM PLUVIAL</v>
      </c>
      <c r="D15" s="550"/>
      <c r="E15" s="530"/>
      <c r="F15" s="530"/>
      <c r="G15" s="531"/>
      <c r="H15" s="551"/>
      <c r="I15" s="540">
        <f>SUM(I16:I29)</f>
        <v>39090.16</v>
      </c>
    </row>
    <row r="16" spans="1:9" ht="12.75">
      <c r="A16" s="434" t="str">
        <f>MEMORIAL!A14</f>
        <v>2.1</v>
      </c>
      <c r="B16" s="437">
        <v>73599</v>
      </c>
      <c r="C16" s="436" t="str">
        <f>MEMORIAL!B14</f>
        <v>Escavação mec. de valas em qualquer tipo de solo, 0,00 a 4,00 m</v>
      </c>
      <c r="D16" s="442" t="str">
        <f>MEMORIAL!C14</f>
        <v>m3</v>
      </c>
      <c r="E16" s="438">
        <f>MEMORIAL!D14</f>
        <v>218</v>
      </c>
      <c r="F16" s="438">
        <v>7.67</v>
      </c>
      <c r="G16" s="439">
        <f>'dados de entrada'!B$10</f>
        <v>0.25</v>
      </c>
      <c r="H16" s="549">
        <f>ROUND(F16*(1+G16),2)</f>
        <v>9.59</v>
      </c>
      <c r="I16" s="441">
        <f>ROUND(H16*E16,2)</f>
        <v>2090.62</v>
      </c>
    </row>
    <row r="17" spans="1:9" ht="12.75">
      <c r="A17" s="434" t="str">
        <f>MEMORIAL!A15</f>
        <v>2.2</v>
      </c>
      <c r="B17" s="437" t="s">
        <v>197</v>
      </c>
      <c r="C17" s="436" t="str">
        <f>MEMORIAL!B15</f>
        <v>Lastro de brita 6 cm x 60 cm</v>
      </c>
      <c r="D17" s="442" t="str">
        <f>MEMORIAL!C15</f>
        <v>m3</v>
      </c>
      <c r="E17" s="438">
        <f>MEMORIAL!D15</f>
        <v>6</v>
      </c>
      <c r="F17" s="438">
        <v>97.19</v>
      </c>
      <c r="G17" s="439">
        <f>'dados de entrada'!B$10</f>
        <v>0.25</v>
      </c>
      <c r="H17" s="549">
        <f aca="true" t="shared" si="0" ref="H17:H23">ROUND(F17*(1+G17),2)</f>
        <v>121.49</v>
      </c>
      <c r="I17" s="441">
        <f aca="true" t="shared" si="1" ref="I17:I23">ROUND(H17*E17,2)</f>
        <v>728.94</v>
      </c>
    </row>
    <row r="18" spans="1:9" ht="12.75">
      <c r="A18" s="434" t="str">
        <f>MEMORIAL!A16</f>
        <v>2.3</v>
      </c>
      <c r="B18" s="437">
        <v>73730</v>
      </c>
      <c r="C18" s="436" t="str">
        <f>MEMORIAL!B16</f>
        <v>Assentamento de tubos de concreto diametro de 30 cm., armado ou simples</v>
      </c>
      <c r="D18" s="442" t="str">
        <f>MEMORIAL!C16</f>
        <v>m</v>
      </c>
      <c r="E18" s="438">
        <f>MEMORIAL!D16</f>
        <v>58</v>
      </c>
      <c r="F18" s="438">
        <v>10.5</v>
      </c>
      <c r="G18" s="439">
        <f>'dados de entrada'!B$10</f>
        <v>0.25</v>
      </c>
      <c r="H18" s="549">
        <f t="shared" si="0"/>
        <v>13.13</v>
      </c>
      <c r="I18" s="441">
        <f t="shared" si="1"/>
        <v>761.54</v>
      </c>
    </row>
    <row r="19" spans="1:11" ht="12.75" customHeight="1">
      <c r="A19" s="434" t="str">
        <f>MEMORIAL!A17</f>
        <v>2.4</v>
      </c>
      <c r="B19" s="437">
        <v>7790</v>
      </c>
      <c r="C19" s="436" t="str">
        <f>MEMORIAL!B17</f>
        <v>Tubo de concreto simples classe - PS2 - NBR-8890 de Ø 30 cm, para águas pluviais</v>
      </c>
      <c r="D19" s="442" t="str">
        <f>MEMORIAL!C17</f>
        <v>m</v>
      </c>
      <c r="E19" s="438">
        <f>MEMORIAL!D17</f>
        <v>58</v>
      </c>
      <c r="F19" s="438">
        <v>19.6</v>
      </c>
      <c r="G19" s="439">
        <f>'dados de entrada'!B$10</f>
        <v>0.25</v>
      </c>
      <c r="H19" s="549">
        <f t="shared" si="0"/>
        <v>24.5</v>
      </c>
      <c r="I19" s="441">
        <f t="shared" si="1"/>
        <v>1421</v>
      </c>
      <c r="K19" s="596"/>
    </row>
    <row r="20" spans="1:11" ht="12.75" customHeight="1">
      <c r="A20" s="434" t="str">
        <f>MEMORIAL!A18</f>
        <v>2.5</v>
      </c>
      <c r="B20" s="437">
        <v>73724</v>
      </c>
      <c r="C20" s="436" t="str">
        <f>MEMORIAL!B18</f>
        <v>Assentamento de tubos de concreto diametro de 40 cm., armado ou simples</v>
      </c>
      <c r="D20" s="442" t="str">
        <f>MEMORIAL!C18</f>
        <v>m</v>
      </c>
      <c r="E20" s="438">
        <f>MEMORIAL!D18</f>
        <v>135</v>
      </c>
      <c r="F20" s="438">
        <v>14.95</v>
      </c>
      <c r="G20" s="439">
        <f>'dados de entrada'!B$10</f>
        <v>0.25</v>
      </c>
      <c r="H20" s="549">
        <f t="shared" si="0"/>
        <v>18.69</v>
      </c>
      <c r="I20" s="441">
        <f t="shared" si="1"/>
        <v>2523.15</v>
      </c>
      <c r="K20" s="596"/>
    </row>
    <row r="21" spans="1:11" ht="12.75">
      <c r="A21" s="434" t="str">
        <f>MEMORIAL!A19</f>
        <v>2.6</v>
      </c>
      <c r="B21" s="437">
        <v>7761</v>
      </c>
      <c r="C21" s="436" t="str">
        <f>MEMORIAL!B19</f>
        <v>Tubo de concreto armado classe - PA2 PB NBR-8890/2007 de Ø 40 cm, para águas pluviais</v>
      </c>
      <c r="D21" s="442" t="str">
        <f>MEMORIAL!C19</f>
        <v>m</v>
      </c>
      <c r="E21" s="438">
        <f>MEMORIAL!D19</f>
        <v>135</v>
      </c>
      <c r="F21" s="438">
        <v>57.17</v>
      </c>
      <c r="G21" s="439">
        <f>'dados de entrada'!B$10</f>
        <v>0.25</v>
      </c>
      <c r="H21" s="549">
        <f t="shared" si="0"/>
        <v>71.46</v>
      </c>
      <c r="I21" s="441">
        <f t="shared" si="1"/>
        <v>9647.1</v>
      </c>
      <c r="K21" s="596"/>
    </row>
    <row r="22" spans="1:11" ht="12.75">
      <c r="A22" s="434" t="str">
        <f>MEMORIAL!A20</f>
        <v>2.7</v>
      </c>
      <c r="B22" s="437">
        <v>73722</v>
      </c>
      <c r="C22" s="436" t="str">
        <f>MEMORIAL!B20</f>
        <v>Assentamento de tubos de concreto diametro de 60 cm., armado ou simples</v>
      </c>
      <c r="D22" s="442" t="str">
        <f>MEMORIAL!C20</f>
        <v>m</v>
      </c>
      <c r="E22" s="438">
        <f>MEMORIAL!D20</f>
        <v>28</v>
      </c>
      <c r="F22" s="438">
        <v>29.09</v>
      </c>
      <c r="G22" s="439">
        <f>'dados de entrada'!B$10</f>
        <v>0.25</v>
      </c>
      <c r="H22" s="549">
        <f t="shared" si="0"/>
        <v>36.36</v>
      </c>
      <c r="I22" s="441">
        <f t="shared" si="1"/>
        <v>1018.08</v>
      </c>
      <c r="K22" s="596"/>
    </row>
    <row r="23" spans="1:11" ht="12.75">
      <c r="A23" s="434" t="str">
        <f>MEMORIAL!A21</f>
        <v>2.8</v>
      </c>
      <c r="B23" s="437">
        <v>7762</v>
      </c>
      <c r="C23" s="436" t="str">
        <f>MEMORIAL!B21</f>
        <v>Tubo de concreto armado classe - PA2 PB NBR-8890/2007 de Ø 60 cm, para águas pluviais</v>
      </c>
      <c r="D23" s="442" t="str">
        <f>MEMORIAL!C21</f>
        <v>m</v>
      </c>
      <c r="E23" s="438">
        <f>MEMORIAL!D21</f>
        <v>28</v>
      </c>
      <c r="F23" s="438">
        <v>98.85</v>
      </c>
      <c r="G23" s="439">
        <f>'dados de entrada'!B$10</f>
        <v>0.25</v>
      </c>
      <c r="H23" s="549">
        <f t="shared" si="0"/>
        <v>123.56</v>
      </c>
      <c r="I23" s="441">
        <f t="shared" si="1"/>
        <v>3459.68</v>
      </c>
      <c r="K23" s="596"/>
    </row>
    <row r="24" spans="1:9" ht="12.75">
      <c r="A24" s="434" t="str">
        <f>MEMORIAL!A22</f>
        <v>2.9</v>
      </c>
      <c r="B24" s="437" t="s">
        <v>551</v>
      </c>
      <c r="C24" s="436" t="str">
        <f>MEMORIAL!B22</f>
        <v>Fornecimento e colocação de manta geotextil 200 g/m2, largura = 30 cm</v>
      </c>
      <c r="D24" s="442" t="str">
        <f>MEMORIAL!C22</f>
        <v>m2</v>
      </c>
      <c r="E24" s="438">
        <f>MEMORIAL!D22</f>
        <v>104</v>
      </c>
      <c r="F24" s="438">
        <v>5.77</v>
      </c>
      <c r="G24" s="439">
        <f>'dados de entrada'!B$10</f>
        <v>0.25</v>
      </c>
      <c r="H24" s="549">
        <f aca="true" t="shared" si="2" ref="H24:H29">ROUND(F24*(1+G24),2)</f>
        <v>7.21</v>
      </c>
      <c r="I24" s="441">
        <f aca="true" t="shared" si="3" ref="I24:I29">ROUND(H24*E24,2)</f>
        <v>749.84</v>
      </c>
    </row>
    <row r="25" spans="1:9" ht="12.75">
      <c r="A25" s="434" t="str">
        <f>MEMORIAL!A25</f>
        <v>2.10</v>
      </c>
      <c r="B25" s="437">
        <v>72920</v>
      </c>
      <c r="C25" s="436" t="str">
        <f>MEMORIAL!B25</f>
        <v>Reaterro de vala com material granular reaproveitado adensado e vibrado</v>
      </c>
      <c r="D25" s="442" t="str">
        <f>MEMORIAL!C25</f>
        <v>m3</v>
      </c>
      <c r="E25" s="438">
        <f>MEMORIAL!D25</f>
        <v>168</v>
      </c>
      <c r="F25" s="438">
        <v>12.82</v>
      </c>
      <c r="G25" s="439">
        <f>'dados de entrada'!B$10</f>
        <v>0.25</v>
      </c>
      <c r="H25" s="549">
        <f t="shared" si="2"/>
        <v>16.03</v>
      </c>
      <c r="I25" s="441">
        <f t="shared" si="3"/>
        <v>2693.04</v>
      </c>
    </row>
    <row r="26" spans="1:9" ht="12.75">
      <c r="A26" s="434" t="str">
        <f>MEMORIAL!A26</f>
        <v>2.11</v>
      </c>
      <c r="B26" s="437">
        <v>72208</v>
      </c>
      <c r="C26" s="436" t="str">
        <f>MEMORIAL!B26</f>
        <v>Carga mecanizada e remoção de excedentes com transporte até 1 km</v>
      </c>
      <c r="D26" s="442" t="str">
        <f>MEMORIAL!C26</f>
        <v>m3</v>
      </c>
      <c r="E26" s="438">
        <f>MEMORIAL!D26</f>
        <v>50</v>
      </c>
      <c r="F26" s="438">
        <v>5.91</v>
      </c>
      <c r="G26" s="439">
        <f>'dados de entrada'!B$10</f>
        <v>0.25</v>
      </c>
      <c r="H26" s="549">
        <f t="shared" si="2"/>
        <v>7.39</v>
      </c>
      <c r="I26" s="441">
        <f t="shared" si="3"/>
        <v>369.5</v>
      </c>
    </row>
    <row r="27" spans="1:9" ht="12.75" customHeight="1">
      <c r="A27" s="434" t="str">
        <f>MEMORIAL!A27</f>
        <v>2.12</v>
      </c>
      <c r="B27" s="437" t="s">
        <v>552</v>
      </c>
      <c r="C27" s="436" t="str">
        <f>MEMORIAL!B27</f>
        <v>Poço de visita Ø 40/60 cm - simples</v>
      </c>
      <c r="D27" s="442" t="str">
        <f>MEMORIAL!C27</f>
        <v>und</v>
      </c>
      <c r="E27" s="438">
        <f>MEMORIAL!D27</f>
        <v>2</v>
      </c>
      <c r="F27" s="438">
        <f>'PV Ø40 e Ø 60'!F43</f>
        <v>919.13431</v>
      </c>
      <c r="G27" s="439">
        <f>'dados de entrada'!B$10</f>
        <v>0.25</v>
      </c>
      <c r="H27" s="549">
        <f t="shared" si="2"/>
        <v>1148.92</v>
      </c>
      <c r="I27" s="441">
        <f t="shared" si="3"/>
        <v>2297.84</v>
      </c>
    </row>
    <row r="28" spans="1:9" ht="12.75" customHeight="1">
      <c r="A28" s="434" t="str">
        <f>MEMORIAL!A28</f>
        <v>2.13</v>
      </c>
      <c r="B28" s="437" t="s">
        <v>552</v>
      </c>
      <c r="C28" s="436" t="str">
        <f>MEMORIAL!B28</f>
        <v>Caixa de ligação Ø 40/60 cm - simples</v>
      </c>
      <c r="D28" s="442" t="str">
        <f>MEMORIAL!C28</f>
        <v>und</v>
      </c>
      <c r="E28" s="438">
        <f>MEMORIAL!D28</f>
        <v>3</v>
      </c>
      <c r="F28" s="438">
        <f>'CL Ø40 e Ø 60'!F43</f>
        <v>732.71291</v>
      </c>
      <c r="G28" s="439">
        <f>'dados de entrada'!B$10</f>
        <v>0.25</v>
      </c>
      <c r="H28" s="549">
        <f t="shared" si="2"/>
        <v>915.89</v>
      </c>
      <c r="I28" s="441">
        <f t="shared" si="3"/>
        <v>2747.67</v>
      </c>
    </row>
    <row r="29" spans="1:9" ht="12.75">
      <c r="A29" s="434" t="str">
        <f>MEMORIAL!A29</f>
        <v>2.14</v>
      </c>
      <c r="B29" s="437">
        <v>83659</v>
      </c>
      <c r="C29" s="436" t="str">
        <f>MEMORIAL!B29</f>
        <v>Boca de lobo</v>
      </c>
      <c r="D29" s="442" t="str">
        <f>MEMORIAL!C29</f>
        <v>und</v>
      </c>
      <c r="E29" s="438">
        <f>MEMORIAL!D29</f>
        <v>12</v>
      </c>
      <c r="F29" s="438">
        <v>572.14</v>
      </c>
      <c r="G29" s="439">
        <f>'dados de entrada'!B$10</f>
        <v>0.25</v>
      </c>
      <c r="H29" s="549">
        <f t="shared" si="2"/>
        <v>715.18</v>
      </c>
      <c r="I29" s="441">
        <f t="shared" si="3"/>
        <v>8582.16</v>
      </c>
    </row>
    <row r="30" spans="1:9" ht="13.5" thickBot="1">
      <c r="A30" s="541"/>
      <c r="B30" s="542"/>
      <c r="C30" s="543"/>
      <c r="D30" s="544"/>
      <c r="E30" s="545"/>
      <c r="F30" s="545"/>
      <c r="G30" s="546"/>
      <c r="H30" s="563"/>
      <c r="I30" s="548"/>
    </row>
    <row r="31" spans="1:9" ht="12.75">
      <c r="A31" s="526" t="str">
        <f>MEMORIAL!A31</f>
        <v>3.0</v>
      </c>
      <c r="B31" s="527"/>
      <c r="C31" s="528" t="str">
        <f>MEMORIAL!B31</f>
        <v>PAVIMENTAÇÃO COM LAJOTAS SEXTAVADAS</v>
      </c>
      <c r="D31" s="550"/>
      <c r="E31" s="530"/>
      <c r="F31" s="530"/>
      <c r="G31" s="531"/>
      <c r="H31" s="551"/>
      <c r="I31" s="540">
        <f>SUM(I32:I34)</f>
        <v>98397.3</v>
      </c>
    </row>
    <row r="32" spans="1:9" ht="12.75">
      <c r="A32" s="434" t="str">
        <f>MEMORIAL!A32</f>
        <v>3.1</v>
      </c>
      <c r="B32" s="437" t="s">
        <v>555</v>
      </c>
      <c r="C32" s="436" t="str">
        <f>MEMORIAL!B32</f>
        <v>Regularização e compactação de até 20 cm</v>
      </c>
      <c r="D32" s="442" t="str">
        <f>MEMORIAL!C32</f>
        <v>m2</v>
      </c>
      <c r="E32" s="438">
        <f>MEMORIAL!D32</f>
        <v>1445.5</v>
      </c>
      <c r="F32" s="438">
        <v>1.38</v>
      </c>
      <c r="G32" s="439">
        <f>'dados de entrada'!B$10</f>
        <v>0.25</v>
      </c>
      <c r="H32" s="549">
        <f>ROUND(F32*(1+G32),2)</f>
        <v>1.73</v>
      </c>
      <c r="I32" s="441">
        <f>ROUND(H32*E32,2)</f>
        <v>2500.72</v>
      </c>
    </row>
    <row r="33" spans="1:9" ht="12.75">
      <c r="A33" s="434" t="str">
        <f>MEMORIAL!A33</f>
        <v>3.2</v>
      </c>
      <c r="B33" s="437" t="s">
        <v>157</v>
      </c>
      <c r="C33" s="436" t="str">
        <f>MEMORIAL!B33</f>
        <v>Colocação de meio-fio externo (12x15x30x80) - incluindo rejunte e reaterro - fck=25Mpa</v>
      </c>
      <c r="D33" s="442" t="str">
        <f>MEMORIAL!C33</f>
        <v>m</v>
      </c>
      <c r="E33" s="438">
        <f>MEMORIAL!D33</f>
        <v>363</v>
      </c>
      <c r="F33" s="438">
        <v>29.5</v>
      </c>
      <c r="G33" s="439">
        <f>'dados de entrada'!B$10</f>
        <v>0.25</v>
      </c>
      <c r="H33" s="549">
        <f>ROUND(F33*(1+G33),2)</f>
        <v>36.88</v>
      </c>
      <c r="I33" s="441">
        <f>ROUND(H33*E33,2)</f>
        <v>13387.44</v>
      </c>
    </row>
    <row r="34" spans="1:11" ht="12.75">
      <c r="A34" s="434" t="str">
        <f>MEMORIAL!A34</f>
        <v>3.3</v>
      </c>
      <c r="B34" s="437" t="s">
        <v>307</v>
      </c>
      <c r="C34" s="436" t="str">
        <f>MEMORIAL!B34</f>
        <v>Pavimentação com lajotas sextavadas - (30 cm x 30 cm x 8 cm) - fck=35 </v>
      </c>
      <c r="D34" s="442" t="str">
        <f>MEMORIAL!C34</f>
        <v>m2</v>
      </c>
      <c r="E34" s="438">
        <f>MEMORIAL!D34</f>
        <v>1445.5</v>
      </c>
      <c r="F34" s="438">
        <v>45.66</v>
      </c>
      <c r="G34" s="439">
        <f>'dados de entrada'!B$10</f>
        <v>0.25</v>
      </c>
      <c r="H34" s="549">
        <f>ROUND(F34*(1+G34),2)</f>
        <v>57.08</v>
      </c>
      <c r="I34" s="441">
        <f>ROUND(H34*E34,2)</f>
        <v>82509.14</v>
      </c>
      <c r="K34" s="596"/>
    </row>
    <row r="35" spans="1:9" ht="13.5" thickBot="1">
      <c r="A35" s="541"/>
      <c r="B35" s="542"/>
      <c r="C35" s="543"/>
      <c r="D35" s="544"/>
      <c r="E35" s="545"/>
      <c r="F35" s="545"/>
      <c r="G35" s="546"/>
      <c r="H35" s="563"/>
      <c r="I35" s="548"/>
    </row>
    <row r="36" spans="1:9" ht="12.75">
      <c r="A36" s="526" t="str">
        <f>MEMORIAL!A36</f>
        <v>4.0</v>
      </c>
      <c r="B36" s="527"/>
      <c r="C36" s="528" t="str">
        <f>MEMORIAL!B36</f>
        <v>PAVIMENTAÇÃO PASSEIO</v>
      </c>
      <c r="D36" s="550"/>
      <c r="E36" s="530"/>
      <c r="F36" s="530"/>
      <c r="G36" s="531"/>
      <c r="H36" s="551"/>
      <c r="I36" s="540">
        <f>SUM(I37:I42)</f>
        <v>33305.32</v>
      </c>
    </row>
    <row r="37" spans="1:11" ht="12.75">
      <c r="A37" s="434" t="str">
        <f>MEMORIAL!A37</f>
        <v>4.1</v>
      </c>
      <c r="B37" s="437">
        <v>6081</v>
      </c>
      <c r="C37" s="436" t="str">
        <f>MEMORIAL!B37</f>
        <v>Material para aterro/reaterro (barro, argila ou saibro) - com transporte até 10 km</v>
      </c>
      <c r="D37" s="442" t="str">
        <f>MEMORIAL!C37</f>
        <v>m3</v>
      </c>
      <c r="E37" s="438">
        <f>MEMORIAL!D37</f>
        <v>21</v>
      </c>
      <c r="F37" s="656">
        <v>18.41</v>
      </c>
      <c r="G37" s="439">
        <f>'dados de entrada'!B$10</f>
        <v>0.25</v>
      </c>
      <c r="H37" s="549">
        <f aca="true" t="shared" si="4" ref="H37:H42">ROUND(F37*(1+G37),2)</f>
        <v>23.01</v>
      </c>
      <c r="I37" s="441">
        <f aca="true" t="shared" si="5" ref="I37:I42">ROUND(H37*E37,2)</f>
        <v>483.21</v>
      </c>
      <c r="K37" s="596"/>
    </row>
    <row r="38" spans="1:11" ht="12.75">
      <c r="A38" s="434" t="str">
        <f>MEMORIAL!A38</f>
        <v>4.2</v>
      </c>
      <c r="B38" s="437">
        <v>5622</v>
      </c>
      <c r="C38" s="436" t="str">
        <f>MEMORIAL!B38</f>
        <v>Regularização e compactação manual de terreno com soquete</v>
      </c>
      <c r="D38" s="442" t="str">
        <f>MEMORIAL!C38</f>
        <v>m2</v>
      </c>
      <c r="E38" s="438">
        <f>MEMORIAL!D38</f>
        <v>418.7</v>
      </c>
      <c r="F38" s="438">
        <v>2.91</v>
      </c>
      <c r="G38" s="439">
        <f>'dados de entrada'!B$10</f>
        <v>0.25</v>
      </c>
      <c r="H38" s="549">
        <f t="shared" si="4"/>
        <v>3.64</v>
      </c>
      <c r="I38" s="441">
        <f t="shared" si="5"/>
        <v>1524.07</v>
      </c>
      <c r="K38" s="596"/>
    </row>
    <row r="39" spans="1:9" ht="12.75">
      <c r="A39" s="434" t="str">
        <f>MEMORIAL!A39</f>
        <v>4.3</v>
      </c>
      <c r="B39" s="437" t="s">
        <v>157</v>
      </c>
      <c r="C39" s="436" t="str">
        <f>MEMORIAL!B39</f>
        <v>Meio-fio interno 15 x 30 x 80 cm - incluindo rejunte e reaterro - fck=25 MPa</v>
      </c>
      <c r="D39" s="442" t="str">
        <f>MEMORIAL!C39</f>
        <v>m</v>
      </c>
      <c r="E39" s="438">
        <f>MEMORIAL!D39</f>
        <v>343</v>
      </c>
      <c r="F39" s="438">
        <v>29.5</v>
      </c>
      <c r="G39" s="439">
        <f>'dados de entrada'!B$10</f>
        <v>0.25</v>
      </c>
      <c r="H39" s="549">
        <f t="shared" si="4"/>
        <v>36.88</v>
      </c>
      <c r="I39" s="441">
        <f t="shared" si="5"/>
        <v>12649.84</v>
      </c>
    </row>
    <row r="40" spans="1:11" ht="12.75">
      <c r="A40" s="434" t="str">
        <f>MEMORIAL!A40</f>
        <v>4.4</v>
      </c>
      <c r="B40" s="437" t="s">
        <v>552</v>
      </c>
      <c r="C40" s="436" t="str">
        <f>MEMORIAL!B40</f>
        <v>Pavimento intertravado paver holand cinza 20 x 10 x 6 cm fck=35 MPa</v>
      </c>
      <c r="D40" s="442" t="str">
        <f>MEMORIAL!C40</f>
        <v>m2</v>
      </c>
      <c r="E40" s="438">
        <f>MEMORIAL!D40</f>
        <v>302.5</v>
      </c>
      <c r="F40" s="438">
        <f>PAVER!F41</f>
        <v>36.4898</v>
      </c>
      <c r="G40" s="439">
        <f>'dados de entrada'!B$10</f>
        <v>0.25</v>
      </c>
      <c r="H40" s="549">
        <f t="shared" si="4"/>
        <v>45.61</v>
      </c>
      <c r="I40" s="441">
        <f t="shared" si="5"/>
        <v>13797.03</v>
      </c>
      <c r="K40" s="596"/>
    </row>
    <row r="41" spans="1:11" ht="12.75">
      <c r="A41" s="434" t="str">
        <f>MEMORIAL!A41</f>
        <v>4.5</v>
      </c>
      <c r="B41" s="437" t="s">
        <v>552</v>
      </c>
      <c r="C41" s="436" t="str">
        <f>MEMORIAL!B41</f>
        <v>Sinalização tátil direcional 20 x 20 x 6 cm fck=35 MPa</v>
      </c>
      <c r="D41" s="442" t="str">
        <f>MEMORIAL!C41</f>
        <v>m2</v>
      </c>
      <c r="E41" s="438">
        <f>MEMORIAL!D41</f>
        <v>60.4</v>
      </c>
      <c r="F41" s="438">
        <f>TATIL!F43</f>
        <v>57.7523</v>
      </c>
      <c r="G41" s="439">
        <f>'dados de entrada'!B$10</f>
        <v>0.25</v>
      </c>
      <c r="H41" s="549">
        <f t="shared" si="4"/>
        <v>72.19</v>
      </c>
      <c r="I41" s="441">
        <f t="shared" si="5"/>
        <v>4360.28</v>
      </c>
      <c r="K41" s="596"/>
    </row>
    <row r="42" spans="1:11" ht="12.75">
      <c r="A42" s="434" t="str">
        <f>MEMORIAL!A42</f>
        <v>4.6</v>
      </c>
      <c r="B42" s="437" t="s">
        <v>552</v>
      </c>
      <c r="C42" s="436" t="str">
        <f>MEMORIAL!B42</f>
        <v>Sinalização tátil de alerta 20 x 20 x 6 cm fck=35 MPa</v>
      </c>
      <c r="D42" s="442" t="str">
        <f>MEMORIAL!C42</f>
        <v>m2</v>
      </c>
      <c r="E42" s="438">
        <f>MEMORIAL!D42</f>
        <v>6.8</v>
      </c>
      <c r="F42" s="545">
        <f>TATIL!F43</f>
        <v>57.7523</v>
      </c>
      <c r="G42" s="439">
        <f>'dados de entrada'!B$10</f>
        <v>0.25</v>
      </c>
      <c r="H42" s="549">
        <f t="shared" si="4"/>
        <v>72.19</v>
      </c>
      <c r="I42" s="441">
        <f t="shared" si="5"/>
        <v>490.89</v>
      </c>
      <c r="K42" s="596"/>
    </row>
    <row r="43" spans="1:9" ht="13.5" thickBot="1">
      <c r="A43" s="533"/>
      <c r="B43" s="534"/>
      <c r="C43" s="535"/>
      <c r="D43" s="536"/>
      <c r="E43" s="537"/>
      <c r="F43" s="537"/>
      <c r="G43" s="538"/>
      <c r="H43" s="552"/>
      <c r="I43" s="539"/>
    </row>
    <row r="44" spans="1:9" ht="12.75">
      <c r="A44" s="602" t="str">
        <f>MEMORIAL!A44</f>
        <v>5.0</v>
      </c>
      <c r="B44" s="520"/>
      <c r="C44" s="651" t="str">
        <f>MEMORIAL!B44</f>
        <v>RAMPA ACESSO PASSEIO DEFICIENTE FÍSICO</v>
      </c>
      <c r="D44" s="522"/>
      <c r="E44" s="523"/>
      <c r="F44" s="523"/>
      <c r="G44" s="524"/>
      <c r="H44" s="525"/>
      <c r="I44" s="705">
        <f>SUM(I45:I47)</f>
        <v>1397.71</v>
      </c>
    </row>
    <row r="45" spans="1:15" ht="12.75">
      <c r="A45" s="519" t="s">
        <v>444</v>
      </c>
      <c r="B45" s="437" t="s">
        <v>35</v>
      </c>
      <c r="C45" s="521" t="str">
        <f>MEMORIAL!B45</f>
        <v>Concreto simples h=7 cm, virado em betoneira fck=20 MPa</v>
      </c>
      <c r="D45" s="522" t="str">
        <f>MEMORIAL!C45</f>
        <v>m3</v>
      </c>
      <c r="E45" s="523">
        <f>MEMORIAL!D45</f>
        <v>3</v>
      </c>
      <c r="F45" s="523">
        <v>353.6</v>
      </c>
      <c r="G45" s="524">
        <f>'dados de entrada'!B$10</f>
        <v>0.25</v>
      </c>
      <c r="H45" s="549">
        <f>ROUND(F45*(1+G45),2)</f>
        <v>442</v>
      </c>
      <c r="I45" s="441">
        <f>ROUND(H45*E45,2)</f>
        <v>1326</v>
      </c>
      <c r="O45" s="6"/>
    </row>
    <row r="46" spans="1:9" ht="12.75">
      <c r="A46" s="519" t="s">
        <v>445</v>
      </c>
      <c r="B46" s="437">
        <v>72947</v>
      </c>
      <c r="C46" s="521" t="str">
        <f>MEMORIAL!B46</f>
        <v>Pintura símbolo Deficiente Físico - Cor fundo azul 60 x 60 cm</v>
      </c>
      <c r="D46" s="522" t="str">
        <f>MEMORIAL!C46</f>
        <v>m2</v>
      </c>
      <c r="E46" s="523">
        <f>MEMORIAL!D46</f>
        <v>2.9</v>
      </c>
      <c r="F46" s="523">
        <v>17.38</v>
      </c>
      <c r="G46" s="524">
        <f>'dados de entrada'!B$10</f>
        <v>0.25</v>
      </c>
      <c r="H46" s="549">
        <f>ROUND(F46*(1+G46),2)</f>
        <v>21.73</v>
      </c>
      <c r="I46" s="441">
        <f>ROUND(H46*E46,2)</f>
        <v>63.02</v>
      </c>
    </row>
    <row r="47" spans="1:9" ht="12.75">
      <c r="A47" s="519" t="s">
        <v>446</v>
      </c>
      <c r="B47" s="437">
        <v>72947</v>
      </c>
      <c r="C47" s="521" t="str">
        <f>MEMORIAL!B47</f>
        <v>Pintura símbolo Deficiente Físico - Pictograma cor branca</v>
      </c>
      <c r="D47" s="522" t="str">
        <f>MEMORIAL!C47</f>
        <v>m2</v>
      </c>
      <c r="E47" s="523">
        <f>MEMORIAL!D47</f>
        <v>0.4</v>
      </c>
      <c r="F47" s="523">
        <v>17.38</v>
      </c>
      <c r="G47" s="524">
        <f>'dados de entrada'!B$10</f>
        <v>0.25</v>
      </c>
      <c r="H47" s="549">
        <f>ROUND(F47*(1+G47),2)</f>
        <v>21.73</v>
      </c>
      <c r="I47" s="441">
        <f>ROUND(H47*E47,2)</f>
        <v>8.69</v>
      </c>
    </row>
    <row r="48" spans="1:9" ht="13.5" thickBot="1">
      <c r="A48" s="565"/>
      <c r="B48" s="566"/>
      <c r="C48" s="564"/>
      <c r="D48" s="567"/>
      <c r="E48" s="568"/>
      <c r="F48" s="568"/>
      <c r="G48" s="569"/>
      <c r="H48" s="570"/>
      <c r="I48" s="571"/>
    </row>
    <row r="49" spans="1:9" ht="12.75">
      <c r="A49" s="526" t="str">
        <f>MEMORIAL!A49</f>
        <v>6.0</v>
      </c>
      <c r="B49" s="520"/>
      <c r="C49" s="528" t="str">
        <f>MEMORIAL!B49</f>
        <v>SINALIZAÇÃO</v>
      </c>
      <c r="D49" s="522"/>
      <c r="E49" s="523"/>
      <c r="F49" s="523"/>
      <c r="G49" s="524"/>
      <c r="H49" s="525"/>
      <c r="I49" s="540">
        <f>SUM(I50:I55)</f>
        <v>4713.26</v>
      </c>
    </row>
    <row r="50" spans="1:9" ht="12.75">
      <c r="A50" s="519" t="s">
        <v>448</v>
      </c>
      <c r="B50" s="437">
        <v>72947</v>
      </c>
      <c r="C50" s="521" t="str">
        <f>MEMORIAL!B50</f>
        <v>Pintura faixa de travessia de pedestres zebrada - FTP-1 cor branca</v>
      </c>
      <c r="D50" s="522" t="str">
        <f>MEMORIAL!C50</f>
        <v>m2</v>
      </c>
      <c r="E50" s="523">
        <f>MEMORIAL!D50</f>
        <v>50.300000000000004</v>
      </c>
      <c r="F50" s="523">
        <v>17.38</v>
      </c>
      <c r="G50" s="524">
        <f>'dados de entrada'!B$10</f>
        <v>0.25</v>
      </c>
      <c r="H50" s="549">
        <f aca="true" t="shared" si="6" ref="H50:H55">ROUND(F50*(1+G50),2)</f>
        <v>21.73</v>
      </c>
      <c r="I50" s="441">
        <f aca="true" t="shared" si="7" ref="I50:I55">ROUND(H50*E50,2)</f>
        <v>1093.02</v>
      </c>
    </row>
    <row r="51" spans="1:9" ht="12.75">
      <c r="A51" s="519" t="s">
        <v>449</v>
      </c>
      <c r="B51" s="437" t="s">
        <v>415</v>
      </c>
      <c r="C51" s="521" t="str">
        <f>MEMORIAL!B51</f>
        <v>Placa de regulamentação R-1 - (Parada obrigatória)*</v>
      </c>
      <c r="D51" s="522" t="str">
        <f>MEMORIAL!C51</f>
        <v>m2</v>
      </c>
      <c r="E51" s="523">
        <f>MEMORIAL!D51</f>
        <v>0.6</v>
      </c>
      <c r="F51" s="523">
        <v>298.25</v>
      </c>
      <c r="G51" s="524">
        <f>'dados de entrada'!B$10</f>
        <v>0.25</v>
      </c>
      <c r="H51" s="549">
        <f t="shared" si="6"/>
        <v>372.81</v>
      </c>
      <c r="I51" s="441">
        <f t="shared" si="7"/>
        <v>223.69</v>
      </c>
    </row>
    <row r="52" spans="1:9" ht="12.75">
      <c r="A52" s="519" t="s">
        <v>450</v>
      </c>
      <c r="B52" s="437" t="s">
        <v>415</v>
      </c>
      <c r="C52" s="521" t="str">
        <f>MEMORIAL!B52</f>
        <v>Placa regulamentadora R-19- (Velocidade maxima permitida)*</v>
      </c>
      <c r="D52" s="522" t="str">
        <f>MEMORIAL!C52</f>
        <v>m2</v>
      </c>
      <c r="E52" s="523">
        <f>MEMORIAL!D52</f>
        <v>1.2</v>
      </c>
      <c r="F52" s="523">
        <v>298.25</v>
      </c>
      <c r="G52" s="524">
        <f>'dados de entrada'!B$10</f>
        <v>0.25</v>
      </c>
      <c r="H52" s="549">
        <f t="shared" si="6"/>
        <v>372.81</v>
      </c>
      <c r="I52" s="441">
        <f t="shared" si="7"/>
        <v>447.37</v>
      </c>
    </row>
    <row r="53" spans="1:9" ht="12.75">
      <c r="A53" s="519" t="s">
        <v>452</v>
      </c>
      <c r="B53" s="437" t="s">
        <v>415</v>
      </c>
      <c r="C53" s="521" t="str">
        <f>MEMORIAL!B53</f>
        <v>Placa de advertência A-32b - (Passagem sinalizada de pedestres)*</v>
      </c>
      <c r="D53" s="522" t="str">
        <f>MEMORIAL!C53</f>
        <v>m2</v>
      </c>
      <c r="E53" s="523">
        <f>MEMORIAL!D53</f>
        <v>2.9</v>
      </c>
      <c r="F53" s="523">
        <v>298.25</v>
      </c>
      <c r="G53" s="524">
        <f>'dados de entrada'!B$10</f>
        <v>0.25</v>
      </c>
      <c r="H53" s="549">
        <f t="shared" si="6"/>
        <v>372.81</v>
      </c>
      <c r="I53" s="441">
        <f t="shared" si="7"/>
        <v>1081.15</v>
      </c>
    </row>
    <row r="54" spans="1:9" ht="12.75">
      <c r="A54" s="519" t="s">
        <v>456</v>
      </c>
      <c r="B54" s="437">
        <v>7698</v>
      </c>
      <c r="C54" s="521" t="str">
        <f>MEMORIAL!B54</f>
        <v>Tubo de aço galvanizado c/ costura DIN 2440/NBR 5580 classe media DN 1.1/4" (32mm) e=3,25mm - 3,14kg/m</v>
      </c>
      <c r="D54" s="522" t="str">
        <f>MEMORIAL!C54</f>
        <v>m</v>
      </c>
      <c r="E54" s="523">
        <f>MEMORIAL!D54</f>
        <v>43.4</v>
      </c>
      <c r="F54" s="523">
        <v>25.27</v>
      </c>
      <c r="G54" s="524">
        <f>'dados de entrada'!B$10</f>
        <v>0.25</v>
      </c>
      <c r="H54" s="549">
        <f t="shared" si="6"/>
        <v>31.59</v>
      </c>
      <c r="I54" s="441">
        <f t="shared" si="7"/>
        <v>1371.01</v>
      </c>
    </row>
    <row r="55" spans="1:9" ht="12.75">
      <c r="A55" s="519" t="s">
        <v>604</v>
      </c>
      <c r="B55" s="437" t="s">
        <v>153</v>
      </c>
      <c r="C55" s="521" t="str">
        <f>MEMORIAL!B55</f>
        <v>Placa de Identificação de rua</v>
      </c>
      <c r="D55" s="522" t="str">
        <f>MEMORIAL!C55</f>
        <v>und</v>
      </c>
      <c r="E55" s="523">
        <f>MEMORIAL!D55</f>
        <v>2</v>
      </c>
      <c r="F55" s="523">
        <v>198.81</v>
      </c>
      <c r="G55" s="524">
        <f>'dados de entrada'!B$10</f>
        <v>0.25</v>
      </c>
      <c r="H55" s="549">
        <f t="shared" si="6"/>
        <v>248.51</v>
      </c>
      <c r="I55" s="441">
        <f t="shared" si="7"/>
        <v>497.02</v>
      </c>
    </row>
    <row r="56" spans="1:12" ht="12.75">
      <c r="A56" s="434"/>
      <c r="B56" s="435"/>
      <c r="C56" s="436"/>
      <c r="D56" s="442"/>
      <c r="E56" s="438"/>
      <c r="F56" s="438"/>
      <c r="G56" s="439"/>
      <c r="H56" s="440"/>
      <c r="I56" s="441"/>
      <c r="L56" s="596">
        <f>I58/E32</f>
        <v>123.33220338983051</v>
      </c>
    </row>
    <row r="57" spans="1:9" ht="12.75">
      <c r="A57" s="707"/>
      <c r="B57" s="1215" t="s">
        <v>609</v>
      </c>
      <c r="C57" s="1216"/>
      <c r="D57" s="708"/>
      <c r="E57" s="709"/>
      <c r="F57" s="709"/>
      <c r="G57" s="710"/>
      <c r="H57" s="711"/>
      <c r="I57" s="548"/>
    </row>
    <row r="58" spans="1:9" ht="12.75" customHeight="1" thickBot="1">
      <c r="A58" s="943" t="s">
        <v>474</v>
      </c>
      <c r="B58" s="944"/>
      <c r="C58" s="944"/>
      <c r="D58" s="944"/>
      <c r="E58" s="944"/>
      <c r="F58" s="944"/>
      <c r="G58" s="944"/>
      <c r="H58" s="945"/>
      <c r="I58" s="649">
        <f>ROUND(I12+I15+I31+I36+I44+I49,2)</f>
        <v>178276.7</v>
      </c>
    </row>
    <row r="59" spans="1:12" s="188" customFormat="1" ht="12.75">
      <c r="A59" s="443"/>
      <c r="B59" s="444"/>
      <c r="C59" s="444"/>
      <c r="D59" s="444"/>
      <c r="E59" s="444"/>
      <c r="F59" s="444"/>
      <c r="G59" s="444"/>
      <c r="H59" s="444"/>
      <c r="I59" s="445"/>
      <c r="K59" s="595"/>
      <c r="L59" s="597"/>
    </row>
    <row r="60" spans="1:9" ht="12.75">
      <c r="A60" s="958" t="s">
        <v>475</v>
      </c>
      <c r="B60" s="959"/>
      <c r="C60" s="572" t="s">
        <v>476</v>
      </c>
      <c r="D60" s="573"/>
      <c r="E60" s="946" t="s">
        <v>477</v>
      </c>
      <c r="F60" s="946"/>
      <c r="G60" s="947"/>
      <c r="H60" s="948"/>
      <c r="I60" s="949"/>
    </row>
    <row r="61" spans="1:9" ht="12.75">
      <c r="A61" s="960"/>
      <c r="B61" s="961"/>
      <c r="C61" s="575" t="str">
        <f>'dados de entrada'!C24</f>
        <v>Carlos Alberto Bley</v>
      </c>
      <c r="D61" s="574"/>
      <c r="E61" s="946"/>
      <c r="F61" s="946"/>
      <c r="G61" s="947"/>
      <c r="H61" s="948"/>
      <c r="I61" s="949"/>
    </row>
    <row r="62" spans="1:9" ht="12.75">
      <c r="A62" s="962">
        <f>'dados de entrada'!B3</f>
        <v>41671</v>
      </c>
      <c r="B62" s="963"/>
      <c r="C62" s="576" t="s">
        <v>559</v>
      </c>
      <c r="D62" s="574"/>
      <c r="E62" s="946"/>
      <c r="F62" s="946"/>
      <c r="G62" s="947"/>
      <c r="H62" s="948"/>
      <c r="I62" s="949"/>
    </row>
    <row r="63" spans="1:9" ht="13.5" thickBot="1">
      <c r="A63" s="964"/>
      <c r="B63" s="965"/>
      <c r="C63" s="578" t="str">
        <f>'dados de entrada'!B17</f>
        <v>Engenheiro Civil - CREA SC 008.333-3</v>
      </c>
      <c r="D63" s="577"/>
      <c r="E63" s="950"/>
      <c r="F63" s="950"/>
      <c r="G63" s="951"/>
      <c r="H63" s="952"/>
      <c r="I63" s="953"/>
    </row>
    <row r="65" ht="12.75">
      <c r="A65" s="119" t="s">
        <v>478</v>
      </c>
    </row>
    <row r="66" spans="1:9" ht="12.75" customHeight="1">
      <c r="A66" s="941" t="s">
        <v>479</v>
      </c>
      <c r="B66" s="941"/>
      <c r="C66" s="941"/>
      <c r="D66" s="941"/>
      <c r="E66" s="941"/>
      <c r="F66" s="941"/>
      <c r="G66" s="941"/>
      <c r="H66" s="941"/>
      <c r="I66" s="941"/>
    </row>
    <row r="67" spans="1:9" ht="12.75">
      <c r="A67" s="941"/>
      <c r="B67" s="941"/>
      <c r="C67" s="941"/>
      <c r="D67" s="941"/>
      <c r="E67" s="941"/>
      <c r="F67" s="941"/>
      <c r="G67" s="941"/>
      <c r="H67" s="941"/>
      <c r="I67" s="941"/>
    </row>
    <row r="68" spans="1:9" ht="12.75">
      <c r="A68" s="941"/>
      <c r="B68" s="941"/>
      <c r="C68" s="941"/>
      <c r="D68" s="941"/>
      <c r="E68" s="941"/>
      <c r="F68" s="941"/>
      <c r="G68" s="941"/>
      <c r="H68" s="941"/>
      <c r="I68" s="941"/>
    </row>
    <row r="69" spans="1:9" ht="12.75">
      <c r="A69" s="941"/>
      <c r="B69" s="941"/>
      <c r="C69" s="941"/>
      <c r="D69" s="941"/>
      <c r="E69" s="941"/>
      <c r="F69" s="941"/>
      <c r="G69" s="941"/>
      <c r="H69" s="941"/>
      <c r="I69" s="941"/>
    </row>
    <row r="70" spans="1:9" ht="4.5" customHeight="1">
      <c r="A70" s="447"/>
      <c r="B70" s="447"/>
      <c r="C70" s="447"/>
      <c r="D70" s="447"/>
      <c r="E70" s="447"/>
      <c r="F70" s="447"/>
      <c r="G70" s="447"/>
      <c r="H70" s="447"/>
      <c r="I70" s="447"/>
    </row>
    <row r="71" spans="1:9" ht="12.75" customHeight="1">
      <c r="A71" s="941" t="s">
        <v>480</v>
      </c>
      <c r="B71" s="941"/>
      <c r="C71" s="941"/>
      <c r="D71" s="941"/>
      <c r="E71" s="941"/>
      <c r="F71" s="941"/>
      <c r="G71" s="941"/>
      <c r="H71" s="941"/>
      <c r="I71" s="941"/>
    </row>
    <row r="72" spans="1:9" ht="12.75">
      <c r="A72" s="941"/>
      <c r="B72" s="941"/>
      <c r="C72" s="941"/>
      <c r="D72" s="941"/>
      <c r="E72" s="941"/>
      <c r="F72" s="941"/>
      <c r="G72" s="941"/>
      <c r="H72" s="941"/>
      <c r="I72" s="941"/>
    </row>
    <row r="73" spans="1:9" ht="4.5" customHeight="1">
      <c r="A73" s="446"/>
      <c r="B73" s="446"/>
      <c r="C73" s="446"/>
      <c r="D73" s="446"/>
      <c r="E73" s="446"/>
      <c r="F73" s="446"/>
      <c r="G73" s="446"/>
      <c r="H73" s="446"/>
      <c r="I73" s="446"/>
    </row>
    <row r="74" spans="1:9" ht="12.75">
      <c r="A74" s="942" t="s">
        <v>481</v>
      </c>
      <c r="B74" s="942"/>
      <c r="C74" s="942"/>
      <c r="D74" s="942"/>
      <c r="E74" s="942"/>
      <c r="F74" s="942"/>
      <c r="G74" s="942"/>
      <c r="H74" s="942"/>
      <c r="I74" s="942"/>
    </row>
  </sheetData>
  <sheetProtection/>
  <mergeCells count="27">
    <mergeCell ref="A66:I69"/>
    <mergeCell ref="A60:B61"/>
    <mergeCell ref="A62:B63"/>
    <mergeCell ref="A8:B8"/>
    <mergeCell ref="C8:I8"/>
    <mergeCell ref="G10:G11"/>
    <mergeCell ref="H10:H11"/>
    <mergeCell ref="I10:I11"/>
    <mergeCell ref="B57:C57"/>
    <mergeCell ref="A71:I72"/>
    <mergeCell ref="A74:I74"/>
    <mergeCell ref="A58:H58"/>
    <mergeCell ref="E60:I63"/>
    <mergeCell ref="A10:A11"/>
    <mergeCell ref="B10:B11"/>
    <mergeCell ref="C10:C11"/>
    <mergeCell ref="D10:D11"/>
    <mergeCell ref="E10:E11"/>
    <mergeCell ref="F10:F11"/>
    <mergeCell ref="B7:I7"/>
    <mergeCell ref="A1:G1"/>
    <mergeCell ref="I1:I2"/>
    <mergeCell ref="A2:G2"/>
    <mergeCell ref="A5:A6"/>
    <mergeCell ref="B5:G6"/>
    <mergeCell ref="A3:A4"/>
    <mergeCell ref="B3:G4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scale="59" r:id="rId2"/>
  <rowBreaks count="1" manualBreakCount="1">
    <brk id="63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100" zoomScalePageLayoutView="0" workbookViewId="0" topLeftCell="A19">
      <selection activeCell="S45" sqref="S45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62.42187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978"/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97" t="s">
        <v>482</v>
      </c>
      <c r="P1" s="998"/>
      <c r="S1" s="987"/>
      <c r="T1" s="987"/>
      <c r="U1" s="987"/>
      <c r="V1" s="987"/>
      <c r="W1" s="987"/>
      <c r="X1" s="987"/>
      <c r="Y1" s="988"/>
      <c r="Z1" s="169"/>
      <c r="AA1" s="169"/>
      <c r="AB1" s="169"/>
    </row>
    <row r="2" spans="1:28" ht="24" customHeight="1">
      <c r="A2" s="989" t="s">
        <v>483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99"/>
      <c r="P2" s="1000"/>
      <c r="S2" s="987"/>
      <c r="T2" s="987"/>
      <c r="U2" s="987"/>
      <c r="V2" s="987"/>
      <c r="W2" s="987"/>
      <c r="X2" s="987"/>
      <c r="Y2" s="988"/>
      <c r="Z2" s="169"/>
      <c r="AA2" s="169"/>
      <c r="AB2" s="169"/>
    </row>
    <row r="3" spans="1:28" ht="13.5" customHeight="1">
      <c r="A3" s="995" t="s">
        <v>465</v>
      </c>
      <c r="B3" s="996"/>
      <c r="C3" s="996"/>
      <c r="D3" s="996" t="str">
        <f>'dados de entrada'!B4</f>
        <v>BOMBINHAS</v>
      </c>
      <c r="E3" s="996"/>
      <c r="F3" s="996"/>
      <c r="G3" s="996"/>
      <c r="H3" s="996"/>
      <c r="I3" s="996"/>
      <c r="J3" s="996"/>
      <c r="K3" s="996"/>
      <c r="L3" s="996"/>
      <c r="M3" s="996"/>
      <c r="N3" s="1038"/>
      <c r="O3" s="990" t="s">
        <v>484</v>
      </c>
      <c r="P3" s="991"/>
      <c r="S3" s="994"/>
      <c r="T3" s="994"/>
      <c r="U3" s="994"/>
      <c r="V3" s="994"/>
      <c r="W3" s="994"/>
      <c r="X3" s="994"/>
      <c r="Y3" s="449"/>
      <c r="Z3" s="169"/>
      <c r="AA3" s="169"/>
      <c r="AB3" s="169"/>
    </row>
    <row r="4" spans="1:28" ht="13.5" customHeight="1">
      <c r="A4" s="995" t="s">
        <v>17</v>
      </c>
      <c r="B4" s="996"/>
      <c r="C4" s="996"/>
      <c r="D4" s="996" t="str">
        <f>'dados de entrada'!B8</f>
        <v>PAVIMENTAÇÃO COM LAJOTAS SEXTAVADAS E DRENAGEM PLUVIAL </v>
      </c>
      <c r="E4" s="996"/>
      <c r="F4" s="996"/>
      <c r="G4" s="996"/>
      <c r="H4" s="996"/>
      <c r="I4" s="996"/>
      <c r="J4" s="996"/>
      <c r="K4" s="996"/>
      <c r="L4" s="996"/>
      <c r="M4" s="996"/>
      <c r="N4" s="1038"/>
      <c r="O4" s="992"/>
      <c r="P4" s="993"/>
      <c r="S4" s="426"/>
      <c r="T4" s="426"/>
      <c r="U4" s="426"/>
      <c r="V4" s="426"/>
      <c r="W4" s="426"/>
      <c r="X4" s="426"/>
      <c r="Y4" s="449"/>
      <c r="Z4" s="169"/>
      <c r="AA4" s="169"/>
      <c r="AB4" s="169"/>
    </row>
    <row r="5" spans="1:28" ht="13.5" customHeight="1">
      <c r="A5" s="980" t="s">
        <v>200</v>
      </c>
      <c r="B5" s="921"/>
      <c r="C5" s="921"/>
      <c r="D5" s="996" t="str">
        <f>'dados de entrada'!C19</f>
        <v>RUA CANGURU - BAIRRO JOSÉ AMANDIO</v>
      </c>
      <c r="E5" s="996"/>
      <c r="F5" s="996"/>
      <c r="G5" s="996"/>
      <c r="H5" s="996"/>
      <c r="I5" s="996"/>
      <c r="J5" s="996"/>
      <c r="K5" s="996"/>
      <c r="L5" s="996"/>
      <c r="M5" s="996"/>
      <c r="N5" s="1038"/>
      <c r="O5" s="553" t="s">
        <v>485</v>
      </c>
      <c r="P5" s="554"/>
      <c r="S5" s="426"/>
      <c r="T5" s="426"/>
      <c r="U5" s="426"/>
      <c r="V5" s="426"/>
      <c r="W5" s="426"/>
      <c r="X5" s="426"/>
      <c r="Y5" s="449"/>
      <c r="Z5" s="169"/>
      <c r="AA5" s="169"/>
      <c r="AB5" s="169"/>
    </row>
    <row r="6" spans="1:28" ht="12.75" customHeight="1">
      <c r="A6" s="1039" t="s">
        <v>601</v>
      </c>
      <c r="B6" s="1040"/>
      <c r="C6" s="1040"/>
      <c r="D6" s="1040"/>
      <c r="E6" s="967" t="s">
        <v>486</v>
      </c>
      <c r="F6" s="967"/>
      <c r="G6" s="967"/>
      <c r="H6" s="967"/>
      <c r="I6" s="967"/>
      <c r="J6" s="967"/>
      <c r="K6" s="967"/>
      <c r="L6" s="967"/>
      <c r="M6" s="967"/>
      <c r="N6" s="983"/>
      <c r="O6" s="1005">
        <f>'dados de entrada'!B3</f>
        <v>41671</v>
      </c>
      <c r="P6" s="1006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28" ht="14.25" customHeight="1">
      <c r="A7" s="1009" t="s">
        <v>0</v>
      </c>
      <c r="B7" s="1011" t="s">
        <v>1</v>
      </c>
      <c r="C7" s="1011"/>
      <c r="D7" s="1011"/>
      <c r="E7" s="984" t="s">
        <v>487</v>
      </c>
      <c r="F7" s="984"/>
      <c r="G7" s="984"/>
      <c r="H7" s="984"/>
      <c r="I7" s="984"/>
      <c r="J7" s="984"/>
      <c r="K7" s="984"/>
      <c r="L7" s="984"/>
      <c r="M7" s="984"/>
      <c r="N7" s="984"/>
      <c r="O7" s="1030" t="s">
        <v>5</v>
      </c>
      <c r="P7" s="1031"/>
      <c r="S7" s="169"/>
      <c r="T7" s="169"/>
      <c r="U7" s="169"/>
      <c r="V7" s="169"/>
      <c r="W7" s="169"/>
      <c r="X7" s="169"/>
      <c r="Y7" s="169"/>
      <c r="Z7" s="169"/>
      <c r="AA7" s="169"/>
      <c r="AB7" s="169"/>
    </row>
    <row r="8" spans="1:28" ht="14.25" customHeight="1">
      <c r="A8" s="1009"/>
      <c r="B8" s="1011"/>
      <c r="C8" s="1011"/>
      <c r="D8" s="1011"/>
      <c r="E8" s="985" t="s">
        <v>488</v>
      </c>
      <c r="F8" s="986"/>
      <c r="G8" s="985" t="s">
        <v>489</v>
      </c>
      <c r="H8" s="986"/>
      <c r="I8" s="985" t="s">
        <v>490</v>
      </c>
      <c r="J8" s="986"/>
      <c r="K8" s="985" t="s">
        <v>491</v>
      </c>
      <c r="L8" s="986"/>
      <c r="M8" s="985" t="s">
        <v>492</v>
      </c>
      <c r="N8" s="986"/>
      <c r="O8" s="1030"/>
      <c r="P8" s="1031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ht="13.5" thickBot="1">
      <c r="A9" s="1010"/>
      <c r="B9" s="1012"/>
      <c r="C9" s="1012"/>
      <c r="D9" s="1012"/>
      <c r="E9" s="579" t="s">
        <v>6</v>
      </c>
      <c r="F9" s="579" t="s">
        <v>7</v>
      </c>
      <c r="G9" s="579" t="s">
        <v>6</v>
      </c>
      <c r="H9" s="579" t="s">
        <v>7</v>
      </c>
      <c r="I9" s="579" t="s">
        <v>6</v>
      </c>
      <c r="J9" s="579" t="s">
        <v>7</v>
      </c>
      <c r="K9" s="579" t="s">
        <v>6</v>
      </c>
      <c r="L9" s="579" t="s">
        <v>7</v>
      </c>
      <c r="M9" s="579" t="s">
        <v>6</v>
      </c>
      <c r="N9" s="579" t="s">
        <v>7</v>
      </c>
      <c r="O9" s="579" t="s">
        <v>6</v>
      </c>
      <c r="P9" s="580" t="s">
        <v>7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3.5" customHeight="1">
      <c r="A10" s="526" t="str">
        <f>ORÇAMENTO!A12</f>
        <v>1.0</v>
      </c>
      <c r="B10" s="1007" t="str">
        <f>ORÇAMENTO!C12</f>
        <v>SERVIÇOS INICIAIS</v>
      </c>
      <c r="C10" s="1008"/>
      <c r="D10" s="1008"/>
      <c r="E10" s="611">
        <f>SUM(E11)</f>
        <v>1372.95</v>
      </c>
      <c r="F10" s="605">
        <f>E10/$O$10</f>
        <v>1</v>
      </c>
      <c r="G10" s="611">
        <f>SUM(G11)</f>
        <v>0</v>
      </c>
      <c r="H10" s="605">
        <f>G10/$O$10</f>
        <v>0</v>
      </c>
      <c r="I10" s="611">
        <f>SUM(I11)</f>
        <v>0</v>
      </c>
      <c r="J10" s="605">
        <f>I10/$O$10</f>
        <v>0</v>
      </c>
      <c r="K10" s="611">
        <f>SUM(K11)</f>
        <v>0</v>
      </c>
      <c r="L10" s="605">
        <f>K10/$O$10</f>
        <v>0</v>
      </c>
      <c r="M10" s="611">
        <f>SUM(M11)</f>
        <v>0</v>
      </c>
      <c r="N10" s="605">
        <f>M10/$O$10</f>
        <v>0</v>
      </c>
      <c r="O10" s="601">
        <f>SUM(O11)</f>
        <v>1372.95</v>
      </c>
      <c r="P10" s="604">
        <f>(O10/$O$55)</f>
        <v>0.007701230727290779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3.5" customHeight="1">
      <c r="A11" s="434" t="str">
        <f>ORÇAMENTO!A13</f>
        <v>1.1</v>
      </c>
      <c r="B11" s="981" t="str">
        <f>ORÇAMENTO!C13</f>
        <v>Placa de obra</v>
      </c>
      <c r="C11" s="982"/>
      <c r="D11" s="982"/>
      <c r="E11" s="450">
        <f>F11*O11</f>
        <v>1372.95</v>
      </c>
      <c r="F11" s="606">
        <v>1</v>
      </c>
      <c r="G11" s="450">
        <f>H11*($O$11)</f>
        <v>0</v>
      </c>
      <c r="H11" s="606">
        <v>0</v>
      </c>
      <c r="I11" s="450">
        <f>J11*($O$11)</f>
        <v>0</v>
      </c>
      <c r="J11" s="606">
        <v>0</v>
      </c>
      <c r="K11" s="450">
        <f>L11*($O$11)</f>
        <v>0</v>
      </c>
      <c r="L11" s="606">
        <v>0</v>
      </c>
      <c r="M11" s="450">
        <f>N11*($O$11)</f>
        <v>0</v>
      </c>
      <c r="N11" s="606">
        <v>0</v>
      </c>
      <c r="O11" s="451">
        <f>ORÇAMENTO!I13</f>
        <v>1372.95</v>
      </c>
      <c r="P11" s="608">
        <f>(O11/$O$55)</f>
        <v>0.007701230727290779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3.5" customHeight="1" thickBot="1">
      <c r="A12" s="541"/>
      <c r="B12" s="1032"/>
      <c r="C12" s="1033"/>
      <c r="D12" s="1033"/>
      <c r="E12" s="584"/>
      <c r="F12" s="585"/>
      <c r="G12" s="584"/>
      <c r="H12" s="586"/>
      <c r="I12" s="584"/>
      <c r="J12" s="586"/>
      <c r="K12" s="584"/>
      <c r="L12" s="586"/>
      <c r="M12" s="584"/>
      <c r="N12" s="585"/>
      <c r="O12" s="588"/>
      <c r="P12" s="587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3.5" customHeight="1">
      <c r="A13" s="526" t="str">
        <f>ORÇAMENTO!A15</f>
        <v>2.0</v>
      </c>
      <c r="B13" s="1007" t="str">
        <f>ORÇAMENTO!C15</f>
        <v>SERVIÇOS EM DRENAGEM PLUVIAL</v>
      </c>
      <c r="C13" s="1008"/>
      <c r="D13" s="1008"/>
      <c r="E13" s="611">
        <f>SUM(E14:E27)</f>
        <v>35826.16</v>
      </c>
      <c r="F13" s="610">
        <f>E13/$O$13</f>
        <v>0.9165007255022748</v>
      </c>
      <c r="G13" s="611">
        <f>SUM(G14:G27)</f>
        <v>3263.9999999999995</v>
      </c>
      <c r="H13" s="610">
        <f>G13/$O$13</f>
        <v>0.08349927449772523</v>
      </c>
      <c r="I13" s="611">
        <f>SUM(I14:I27)</f>
        <v>0</v>
      </c>
      <c r="J13" s="610">
        <f>I13/$O$13</f>
        <v>0</v>
      </c>
      <c r="K13" s="611">
        <f>SUM(K14:K27)</f>
        <v>0</v>
      </c>
      <c r="L13" s="610">
        <f>K13/$O$13</f>
        <v>0</v>
      </c>
      <c r="M13" s="611">
        <f>SUM(M14:M27)</f>
        <v>0</v>
      </c>
      <c r="N13" s="610">
        <f>M13/$O$13</f>
        <v>0</v>
      </c>
      <c r="O13" s="601">
        <f>SUM(O14:O27)</f>
        <v>39090.16</v>
      </c>
      <c r="P13" s="604">
        <f aca="true" t="shared" si="0" ref="P13:P27">(O13/$O$55)</f>
        <v>0.21926679145395894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3.5" customHeight="1">
      <c r="A14" s="434" t="str">
        <f>ORÇAMENTO!A16</f>
        <v>2.1</v>
      </c>
      <c r="B14" s="981" t="str">
        <f>ORÇAMENTO!C16</f>
        <v>Escavação mec. de valas em qualquer tipo de solo, 0,00 a 4,00 m</v>
      </c>
      <c r="C14" s="982"/>
      <c r="D14" s="982"/>
      <c r="E14" s="450">
        <f>F14*O14</f>
        <v>2090.62</v>
      </c>
      <c r="F14" s="606">
        <v>1</v>
      </c>
      <c r="G14" s="450">
        <f>H14*O14</f>
        <v>0</v>
      </c>
      <c r="H14" s="606">
        <v>0</v>
      </c>
      <c r="I14" s="450">
        <f>J14*O14</f>
        <v>0</v>
      </c>
      <c r="J14" s="606">
        <v>0</v>
      </c>
      <c r="K14" s="450">
        <f>L14*O14</f>
        <v>0</v>
      </c>
      <c r="L14" s="606">
        <v>0</v>
      </c>
      <c r="M14" s="450">
        <f>N14*O14</f>
        <v>0</v>
      </c>
      <c r="N14" s="606">
        <v>0</v>
      </c>
      <c r="O14" s="451">
        <f>ORÇAMENTO!I16</f>
        <v>2090.62</v>
      </c>
      <c r="P14" s="608">
        <f t="shared" si="0"/>
        <v>0.011726826893250771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ht="13.5" customHeight="1">
      <c r="A15" s="434" t="str">
        <f>ORÇAMENTO!A17</f>
        <v>2.2</v>
      </c>
      <c r="B15" s="981" t="str">
        <f>ORÇAMENTO!C17</f>
        <v>Lastro de brita 6 cm x 60 cm</v>
      </c>
      <c r="C15" s="982"/>
      <c r="D15" s="982"/>
      <c r="E15" s="450">
        <f aca="true" t="shared" si="1" ref="E15:E23">F15*O15</f>
        <v>728.94</v>
      </c>
      <c r="F15" s="606">
        <v>1</v>
      </c>
      <c r="G15" s="450">
        <f aca="true" t="shared" si="2" ref="G15:G23">H15*O15</f>
        <v>0</v>
      </c>
      <c r="H15" s="606">
        <v>0</v>
      </c>
      <c r="I15" s="450">
        <f aca="true" t="shared" si="3" ref="I15:I23">J15*O15</f>
        <v>0</v>
      </c>
      <c r="J15" s="606">
        <v>0</v>
      </c>
      <c r="K15" s="450">
        <f aca="true" t="shared" si="4" ref="K15:K23">L15*O15</f>
        <v>0</v>
      </c>
      <c r="L15" s="606">
        <v>0</v>
      </c>
      <c r="M15" s="450">
        <f aca="true" t="shared" si="5" ref="M15:M23">N15*O15</f>
        <v>0</v>
      </c>
      <c r="N15" s="606">
        <v>0</v>
      </c>
      <c r="O15" s="451">
        <f>ORÇAMENTO!I17</f>
        <v>728.94</v>
      </c>
      <c r="P15" s="608">
        <f t="shared" si="0"/>
        <v>0.004088812503260381</v>
      </c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28" ht="13.5" customHeight="1">
      <c r="A16" s="434" t="str">
        <f>ORÇAMENTO!A18</f>
        <v>2.3</v>
      </c>
      <c r="B16" s="981" t="str">
        <f>ORÇAMENTO!C18</f>
        <v>Assentamento de tubos de concreto diametro de 30 cm., armado ou simples</v>
      </c>
      <c r="C16" s="982"/>
      <c r="D16" s="982"/>
      <c r="E16" s="450">
        <f t="shared" si="1"/>
        <v>761.54</v>
      </c>
      <c r="F16" s="606">
        <v>1</v>
      </c>
      <c r="G16" s="450">
        <f t="shared" si="2"/>
        <v>0</v>
      </c>
      <c r="H16" s="606">
        <v>0</v>
      </c>
      <c r="I16" s="450">
        <f t="shared" si="3"/>
        <v>0</v>
      </c>
      <c r="J16" s="606">
        <v>0</v>
      </c>
      <c r="K16" s="450">
        <f t="shared" si="4"/>
        <v>0</v>
      </c>
      <c r="L16" s="606">
        <v>0</v>
      </c>
      <c r="M16" s="450">
        <f t="shared" si="5"/>
        <v>0</v>
      </c>
      <c r="N16" s="606">
        <v>0</v>
      </c>
      <c r="O16" s="451">
        <f>ORÇAMENTO!I18</f>
        <v>761.54</v>
      </c>
      <c r="P16" s="608">
        <f t="shared" si="0"/>
        <v>0.004271674313020153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3.5" customHeight="1">
      <c r="A17" s="434" t="str">
        <f>ORÇAMENTO!A19</f>
        <v>2.4</v>
      </c>
      <c r="B17" s="981" t="str">
        <f>ORÇAMENTO!C19</f>
        <v>Tubo de concreto simples classe - PS2 - NBR-8890 de Ø 30 cm, para águas pluviais</v>
      </c>
      <c r="C17" s="982"/>
      <c r="D17" s="982"/>
      <c r="E17" s="450">
        <f t="shared" si="1"/>
        <v>1421</v>
      </c>
      <c r="F17" s="606">
        <v>1</v>
      </c>
      <c r="G17" s="450">
        <f t="shared" si="2"/>
        <v>0</v>
      </c>
      <c r="H17" s="606">
        <v>0</v>
      </c>
      <c r="I17" s="450">
        <f t="shared" si="3"/>
        <v>0</v>
      </c>
      <c r="J17" s="606">
        <v>0</v>
      </c>
      <c r="K17" s="450">
        <f t="shared" si="4"/>
        <v>0</v>
      </c>
      <c r="L17" s="606">
        <v>0</v>
      </c>
      <c r="M17" s="450">
        <f t="shared" si="5"/>
        <v>0</v>
      </c>
      <c r="N17" s="606">
        <v>0</v>
      </c>
      <c r="O17" s="451">
        <f>ORÇAMENTO!I19</f>
        <v>1421</v>
      </c>
      <c r="P17" s="608">
        <f t="shared" si="0"/>
        <v>0.00797075557265756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3.5" customHeight="1">
      <c r="A18" s="434" t="str">
        <f>ORÇAMENTO!A20</f>
        <v>2.5</v>
      </c>
      <c r="B18" s="981" t="str">
        <f>ORÇAMENTO!C20</f>
        <v>Assentamento de tubos de concreto diametro de 40 cm., armado ou simples</v>
      </c>
      <c r="C18" s="982"/>
      <c r="D18" s="982"/>
      <c r="E18" s="450">
        <f t="shared" si="1"/>
        <v>2523.15</v>
      </c>
      <c r="F18" s="606">
        <v>1</v>
      </c>
      <c r="G18" s="450">
        <f t="shared" si="2"/>
        <v>0</v>
      </c>
      <c r="H18" s="606">
        <v>0</v>
      </c>
      <c r="I18" s="450">
        <f t="shared" si="3"/>
        <v>0</v>
      </c>
      <c r="J18" s="606">
        <v>0</v>
      </c>
      <c r="K18" s="450">
        <f t="shared" si="4"/>
        <v>0</v>
      </c>
      <c r="L18" s="606">
        <v>0</v>
      </c>
      <c r="M18" s="450">
        <f t="shared" si="5"/>
        <v>0</v>
      </c>
      <c r="N18" s="606">
        <v>0</v>
      </c>
      <c r="O18" s="451">
        <f>ORÇAMENTO!I20</f>
        <v>2523.15</v>
      </c>
      <c r="P18" s="608">
        <f t="shared" si="0"/>
        <v>0.014152999242189247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3.5" customHeight="1">
      <c r="A19" s="434" t="str">
        <f>ORÇAMENTO!A21</f>
        <v>2.6</v>
      </c>
      <c r="B19" s="981" t="str">
        <f>ORÇAMENTO!C21</f>
        <v>Tubo de concreto armado classe - PA2 PB NBR-8890/2007 de Ø 40 cm, para águas pluviais</v>
      </c>
      <c r="C19" s="982"/>
      <c r="D19" s="982"/>
      <c r="E19" s="450">
        <f t="shared" si="1"/>
        <v>9647.1</v>
      </c>
      <c r="F19" s="606">
        <v>1</v>
      </c>
      <c r="G19" s="450">
        <f t="shared" si="2"/>
        <v>0</v>
      </c>
      <c r="H19" s="606">
        <v>0</v>
      </c>
      <c r="I19" s="450">
        <f t="shared" si="3"/>
        <v>0</v>
      </c>
      <c r="J19" s="606">
        <v>0</v>
      </c>
      <c r="K19" s="450">
        <f t="shared" si="4"/>
        <v>0</v>
      </c>
      <c r="L19" s="606">
        <v>0</v>
      </c>
      <c r="M19" s="450">
        <f t="shared" si="5"/>
        <v>0</v>
      </c>
      <c r="N19" s="606">
        <v>0</v>
      </c>
      <c r="O19" s="451">
        <f>ORÇAMENTO!I21</f>
        <v>9647.1</v>
      </c>
      <c r="P19" s="608">
        <f t="shared" si="0"/>
        <v>0.05411307254397237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3.5" customHeight="1">
      <c r="A20" s="434" t="str">
        <f>ORÇAMENTO!A22</f>
        <v>2.7</v>
      </c>
      <c r="B20" s="981" t="str">
        <f>ORÇAMENTO!C22</f>
        <v>Assentamento de tubos de concreto diametro de 60 cm., armado ou simples</v>
      </c>
      <c r="C20" s="982"/>
      <c r="D20" s="982"/>
      <c r="E20" s="450">
        <f t="shared" si="1"/>
        <v>1018.08</v>
      </c>
      <c r="F20" s="606">
        <v>1</v>
      </c>
      <c r="G20" s="450">
        <f t="shared" si="2"/>
        <v>0</v>
      </c>
      <c r="H20" s="606">
        <v>0</v>
      </c>
      <c r="I20" s="450">
        <f t="shared" si="3"/>
        <v>0</v>
      </c>
      <c r="J20" s="606">
        <v>0</v>
      </c>
      <c r="K20" s="450">
        <f t="shared" si="4"/>
        <v>0</v>
      </c>
      <c r="L20" s="606">
        <v>0</v>
      </c>
      <c r="M20" s="450">
        <f t="shared" si="5"/>
        <v>0</v>
      </c>
      <c r="N20" s="606">
        <v>0</v>
      </c>
      <c r="O20" s="451">
        <f>ORÇAMENTO!I22</f>
        <v>1018.08</v>
      </c>
      <c r="P20" s="608">
        <f t="shared" si="0"/>
        <v>0.0057106733521542635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3.5" customHeight="1">
      <c r="A21" s="434" t="str">
        <f>ORÇAMENTO!A23</f>
        <v>2.8</v>
      </c>
      <c r="B21" s="981" t="str">
        <f>ORÇAMENTO!C23</f>
        <v>Tubo de concreto armado classe - PA2 PB NBR-8890/2007 de Ø 60 cm, para águas pluviais</v>
      </c>
      <c r="C21" s="982"/>
      <c r="D21" s="982"/>
      <c r="E21" s="450">
        <f t="shared" si="1"/>
        <v>3459.68</v>
      </c>
      <c r="F21" s="606">
        <v>1</v>
      </c>
      <c r="G21" s="450">
        <f t="shared" si="2"/>
        <v>0</v>
      </c>
      <c r="H21" s="606">
        <v>0</v>
      </c>
      <c r="I21" s="450">
        <f t="shared" si="3"/>
        <v>0</v>
      </c>
      <c r="J21" s="606">
        <v>0</v>
      </c>
      <c r="K21" s="450">
        <f t="shared" si="4"/>
        <v>0</v>
      </c>
      <c r="L21" s="606">
        <v>0</v>
      </c>
      <c r="M21" s="450">
        <f t="shared" si="5"/>
        <v>0</v>
      </c>
      <c r="N21" s="606">
        <v>0</v>
      </c>
      <c r="O21" s="451">
        <f>ORÇAMENTO!I23</f>
        <v>3459.68</v>
      </c>
      <c r="P21" s="608">
        <f t="shared" si="0"/>
        <v>0.019406237607045674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3.5" customHeight="1">
      <c r="A22" s="434" t="str">
        <f>ORÇAMENTO!A24</f>
        <v>2.9</v>
      </c>
      <c r="B22" s="981" t="str">
        <f>ORÇAMENTO!C24</f>
        <v>Fornecimento e colocação de manta geotextil 200 g/m2, largura = 30 cm</v>
      </c>
      <c r="C22" s="982"/>
      <c r="D22" s="982"/>
      <c r="E22" s="450">
        <f t="shared" si="1"/>
        <v>749.84</v>
      </c>
      <c r="F22" s="606">
        <v>1</v>
      </c>
      <c r="G22" s="450">
        <f t="shared" si="2"/>
        <v>0</v>
      </c>
      <c r="H22" s="606">
        <v>0</v>
      </c>
      <c r="I22" s="450">
        <f t="shared" si="3"/>
        <v>0</v>
      </c>
      <c r="J22" s="606">
        <v>0</v>
      </c>
      <c r="K22" s="450">
        <f t="shared" si="4"/>
        <v>0</v>
      </c>
      <c r="L22" s="606">
        <v>0</v>
      </c>
      <c r="M22" s="450">
        <f t="shared" si="5"/>
        <v>0</v>
      </c>
      <c r="N22" s="606">
        <v>0</v>
      </c>
      <c r="O22" s="451">
        <f>ORÇAMENTO!I24</f>
        <v>749.84</v>
      </c>
      <c r="P22" s="608">
        <f t="shared" si="0"/>
        <v>0.004206045994793487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3.5" customHeight="1">
      <c r="A23" s="434" t="str">
        <f>ORÇAMENTO!A25</f>
        <v>2.10</v>
      </c>
      <c r="B23" s="981" t="str">
        <f>ORÇAMENTO!C25</f>
        <v>Reaterro de vala com material granular reaproveitado adensado e vibrado</v>
      </c>
      <c r="C23" s="982"/>
      <c r="D23" s="982"/>
      <c r="E23" s="450">
        <f t="shared" si="1"/>
        <v>2693.04</v>
      </c>
      <c r="F23" s="606">
        <v>1</v>
      </c>
      <c r="G23" s="450">
        <f t="shared" si="2"/>
        <v>0</v>
      </c>
      <c r="H23" s="606">
        <v>0</v>
      </c>
      <c r="I23" s="450">
        <f t="shared" si="3"/>
        <v>0</v>
      </c>
      <c r="J23" s="606">
        <v>0</v>
      </c>
      <c r="K23" s="450">
        <f t="shared" si="4"/>
        <v>0</v>
      </c>
      <c r="L23" s="606">
        <v>0</v>
      </c>
      <c r="M23" s="450">
        <f t="shared" si="5"/>
        <v>0</v>
      </c>
      <c r="N23" s="606">
        <v>0</v>
      </c>
      <c r="O23" s="451">
        <f>ORÇAMENTO!I25</f>
        <v>2693.04</v>
      </c>
      <c r="P23" s="608">
        <f t="shared" si="0"/>
        <v>0.015105956078388256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3.5" customHeight="1">
      <c r="A24" s="434" t="str">
        <f>ORÇAMENTO!A26</f>
        <v>2.11</v>
      </c>
      <c r="B24" s="981" t="str">
        <f>ORÇAMENTO!C26</f>
        <v>Carga mecanizada e remoção de excedentes com transporte até 1 km</v>
      </c>
      <c r="C24" s="982"/>
      <c r="D24" s="982"/>
      <c r="E24" s="450">
        <f>F24*O24</f>
        <v>369.5</v>
      </c>
      <c r="F24" s="606">
        <v>1</v>
      </c>
      <c r="G24" s="450">
        <f>H24*O24</f>
        <v>0</v>
      </c>
      <c r="H24" s="606">
        <v>0</v>
      </c>
      <c r="I24" s="450">
        <f>J24*O24</f>
        <v>0</v>
      </c>
      <c r="J24" s="606">
        <v>0</v>
      </c>
      <c r="K24" s="450">
        <f>L24*O24</f>
        <v>0</v>
      </c>
      <c r="L24" s="606">
        <v>0</v>
      </c>
      <c r="M24" s="450">
        <f>N24*O24</f>
        <v>0</v>
      </c>
      <c r="N24" s="606">
        <v>0</v>
      </c>
      <c r="O24" s="451">
        <f>ORÇAMENTO!I26</f>
        <v>369.5</v>
      </c>
      <c r="P24" s="608">
        <f t="shared" si="0"/>
        <v>0.002072620819209689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3.5" customHeight="1">
      <c r="A25" s="434" t="str">
        <f>ORÇAMENTO!A27</f>
        <v>2.12</v>
      </c>
      <c r="B25" s="981" t="str">
        <f>ORÇAMENTO!C27</f>
        <v>Poço de visita Ø 40/60 cm - simples</v>
      </c>
      <c r="C25" s="982"/>
      <c r="D25" s="982"/>
      <c r="E25" s="450">
        <f>F25*O25</f>
        <v>1608.488</v>
      </c>
      <c r="F25" s="606">
        <v>0.7</v>
      </c>
      <c r="G25" s="450">
        <f>H25*O25</f>
        <v>689.352</v>
      </c>
      <c r="H25" s="606">
        <v>0.3</v>
      </c>
      <c r="I25" s="450">
        <f>J25*O25</f>
        <v>0</v>
      </c>
      <c r="J25" s="606">
        <v>0</v>
      </c>
      <c r="K25" s="450">
        <f>L25*O25</f>
        <v>0</v>
      </c>
      <c r="L25" s="606">
        <v>0</v>
      </c>
      <c r="M25" s="450">
        <f>N25*O25</f>
        <v>0</v>
      </c>
      <c r="N25" s="606">
        <v>0</v>
      </c>
      <c r="O25" s="451">
        <f>ORÇAMENTO!I27</f>
        <v>2297.84</v>
      </c>
      <c r="P25" s="608">
        <f t="shared" si="0"/>
        <v>0.012889177329398626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28" ht="13.5" customHeight="1">
      <c r="A26" s="434" t="str">
        <f>ORÇAMENTO!A28</f>
        <v>2.13</v>
      </c>
      <c r="B26" s="981" t="str">
        <f>ORÇAMENTO!C28</f>
        <v>Caixa de ligação Ø 40/60 cm - simples</v>
      </c>
      <c r="C26" s="982"/>
      <c r="D26" s="982"/>
      <c r="E26" s="450">
        <f>F26*O26</f>
        <v>2747.67</v>
      </c>
      <c r="F26" s="606">
        <v>1</v>
      </c>
      <c r="G26" s="450">
        <f>H26*O26</f>
        <v>0</v>
      </c>
      <c r="H26" s="606">
        <v>0</v>
      </c>
      <c r="I26" s="450">
        <f>J26*O26</f>
        <v>0</v>
      </c>
      <c r="J26" s="606">
        <v>0</v>
      </c>
      <c r="K26" s="450">
        <f>L26*O26</f>
        <v>0</v>
      </c>
      <c r="L26" s="606">
        <v>0</v>
      </c>
      <c r="M26" s="450">
        <f>N26*O26</f>
        <v>0</v>
      </c>
      <c r="N26" s="606">
        <v>0</v>
      </c>
      <c r="O26" s="451">
        <f>ORÇAMENTO!I28</f>
        <v>2747.67</v>
      </c>
      <c r="P26" s="608">
        <f t="shared" si="0"/>
        <v>0.015412389841185078</v>
      </c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28" ht="13.5" customHeight="1">
      <c r="A27" s="434" t="str">
        <f>ORÇAMENTO!A29</f>
        <v>2.14</v>
      </c>
      <c r="B27" s="981" t="str">
        <f>ORÇAMENTO!C29</f>
        <v>Boca de lobo</v>
      </c>
      <c r="C27" s="982"/>
      <c r="D27" s="982"/>
      <c r="E27" s="450">
        <f>F27*O27</f>
        <v>6007.512</v>
      </c>
      <c r="F27" s="606">
        <v>0.7</v>
      </c>
      <c r="G27" s="450">
        <f>H27*O27</f>
        <v>2574.6479999999997</v>
      </c>
      <c r="H27" s="606">
        <v>0.3</v>
      </c>
      <c r="I27" s="450">
        <f>J27*O27</f>
        <v>0</v>
      </c>
      <c r="J27" s="606">
        <v>0</v>
      </c>
      <c r="K27" s="450">
        <f>L27*O27</f>
        <v>0</v>
      </c>
      <c r="L27" s="606">
        <v>0</v>
      </c>
      <c r="M27" s="450">
        <f>N27*O27</f>
        <v>0</v>
      </c>
      <c r="N27" s="606">
        <v>0</v>
      </c>
      <c r="O27" s="451">
        <f>ORÇAMENTO!I29</f>
        <v>8582.16</v>
      </c>
      <c r="P27" s="608">
        <f t="shared" si="0"/>
        <v>0.04813954936343336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3.5" customHeight="1" thickBot="1">
      <c r="A28" s="533"/>
      <c r="B28" s="1001"/>
      <c r="C28" s="1001"/>
      <c r="D28" s="1001"/>
      <c r="E28" s="581"/>
      <c r="F28" s="582"/>
      <c r="G28" s="581"/>
      <c r="H28" s="583"/>
      <c r="I28" s="581"/>
      <c r="J28" s="583"/>
      <c r="K28" s="581"/>
      <c r="L28" s="583"/>
      <c r="M28" s="581"/>
      <c r="N28" s="582"/>
      <c r="O28" s="454"/>
      <c r="P28" s="455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3.5" customHeight="1">
      <c r="A29" s="602" t="str">
        <f>ORÇAMENTO!A31</f>
        <v>3.0</v>
      </c>
      <c r="B29" s="1003" t="str">
        <f>ORÇAMENTO!C31</f>
        <v>PAVIMENTAÇÃO COM LAJOTAS SEXTAVADAS</v>
      </c>
      <c r="C29" s="1004"/>
      <c r="D29" s="1004"/>
      <c r="E29" s="611">
        <f>SUM(E30:E32)</f>
        <v>49198.65</v>
      </c>
      <c r="F29" s="610">
        <f>E29/$O$29</f>
        <v>0.5</v>
      </c>
      <c r="G29" s="611">
        <f>SUM(G30:G32)</f>
        <v>49198.65</v>
      </c>
      <c r="H29" s="610">
        <f>G29/$O$29</f>
        <v>0.5</v>
      </c>
      <c r="I29" s="611">
        <f>SUM(I30:I32)</f>
        <v>0</v>
      </c>
      <c r="J29" s="610">
        <f>I29/$O$29</f>
        <v>0</v>
      </c>
      <c r="K29" s="611">
        <f>SUM(K30:K32)</f>
        <v>0</v>
      </c>
      <c r="L29" s="610">
        <f>K29/$O$29</f>
        <v>0</v>
      </c>
      <c r="M29" s="611">
        <f>SUM(M30:M32)</f>
        <v>0</v>
      </c>
      <c r="N29" s="610">
        <f>M29/$O$29</f>
        <v>0</v>
      </c>
      <c r="O29" s="603">
        <f>SUM(O30:O32)</f>
        <v>98397.3</v>
      </c>
      <c r="P29" s="607">
        <f>(O29/$O$55)</f>
        <v>0.5519358390636577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16" ht="13.5" customHeight="1">
      <c r="A30" s="434" t="str">
        <f>ORÇAMENTO!A32</f>
        <v>3.1</v>
      </c>
      <c r="B30" s="981" t="str">
        <f>ORÇAMENTO!C32</f>
        <v>Regularização e compactação de até 20 cm</v>
      </c>
      <c r="C30" s="982"/>
      <c r="D30" s="982"/>
      <c r="E30" s="450">
        <f>F30*O30</f>
        <v>1250.36</v>
      </c>
      <c r="F30" s="606">
        <v>0.5</v>
      </c>
      <c r="G30" s="450">
        <f>H30*O30</f>
        <v>1250.36</v>
      </c>
      <c r="H30" s="606">
        <v>0.5</v>
      </c>
      <c r="I30" s="450">
        <f>J30*O30</f>
        <v>0</v>
      </c>
      <c r="J30" s="606">
        <v>0</v>
      </c>
      <c r="K30" s="450">
        <f>L30*O30</f>
        <v>0</v>
      </c>
      <c r="L30" s="606">
        <v>0</v>
      </c>
      <c r="M30" s="450">
        <f>N30*O30</f>
        <v>0</v>
      </c>
      <c r="N30" s="606">
        <v>0</v>
      </c>
      <c r="O30" s="451">
        <f>ORÇAMENTO!I32</f>
        <v>2500.72</v>
      </c>
      <c r="P30" s="609">
        <f>(O30/$O$55)</f>
        <v>0.014027183585964961</v>
      </c>
    </row>
    <row r="31" spans="1:16" ht="13.5" customHeight="1">
      <c r="A31" s="434" t="str">
        <f>ORÇAMENTO!A33</f>
        <v>3.2</v>
      </c>
      <c r="B31" s="981" t="str">
        <f>ORÇAMENTO!C33</f>
        <v>Colocação de meio-fio externo (12x15x30x80) - incluindo rejunte e reaterro - fck=25Mpa</v>
      </c>
      <c r="C31" s="982"/>
      <c r="D31" s="982"/>
      <c r="E31" s="450">
        <f>F31*O31</f>
        <v>6693.72</v>
      </c>
      <c r="F31" s="606">
        <v>0.5</v>
      </c>
      <c r="G31" s="450">
        <f>H31*O31</f>
        <v>6693.72</v>
      </c>
      <c r="H31" s="606">
        <v>0.5</v>
      </c>
      <c r="I31" s="450">
        <f>J31*O31</f>
        <v>0</v>
      </c>
      <c r="J31" s="606">
        <v>0</v>
      </c>
      <c r="K31" s="450">
        <f>L31*O31</f>
        <v>0</v>
      </c>
      <c r="L31" s="606">
        <v>0</v>
      </c>
      <c r="M31" s="450">
        <f>N31*O31</f>
        <v>0</v>
      </c>
      <c r="N31" s="606">
        <v>0</v>
      </c>
      <c r="O31" s="451">
        <f>ORÇAMENTO!I33</f>
        <v>13387.44</v>
      </c>
      <c r="P31" s="609">
        <f>(O31/$O$55)</f>
        <v>0.07509360449234252</v>
      </c>
    </row>
    <row r="32" spans="1:16" ht="13.5" customHeight="1">
      <c r="A32" s="434" t="str">
        <f>ORÇAMENTO!A34</f>
        <v>3.3</v>
      </c>
      <c r="B32" s="981" t="str">
        <f>ORÇAMENTO!C34</f>
        <v>Pavimentação com lajotas sextavadas - (30 cm x 30 cm x 8 cm) - fck=35 </v>
      </c>
      <c r="C32" s="982"/>
      <c r="D32" s="982"/>
      <c r="E32" s="450">
        <f>F32*O32</f>
        <v>41254.57</v>
      </c>
      <c r="F32" s="606">
        <v>0.5</v>
      </c>
      <c r="G32" s="450">
        <f>H32*O32</f>
        <v>41254.57</v>
      </c>
      <c r="H32" s="606">
        <v>0.5</v>
      </c>
      <c r="I32" s="450">
        <f>J32*O32</f>
        <v>0</v>
      </c>
      <c r="J32" s="606">
        <v>0</v>
      </c>
      <c r="K32" s="450">
        <f>L32*O32</f>
        <v>0</v>
      </c>
      <c r="L32" s="606">
        <v>0</v>
      </c>
      <c r="M32" s="450">
        <f>N32*O32</f>
        <v>0</v>
      </c>
      <c r="N32" s="606">
        <v>0</v>
      </c>
      <c r="O32" s="451">
        <f>ORÇAMENTO!I34</f>
        <v>82509.14</v>
      </c>
      <c r="P32" s="609">
        <f>(O32/$O$55)</f>
        <v>0.46281505098535025</v>
      </c>
    </row>
    <row r="33" spans="1:16" ht="13.5" customHeight="1" thickBot="1">
      <c r="A33" s="541"/>
      <c r="B33" s="1002"/>
      <c r="C33" s="1002"/>
      <c r="D33" s="1002"/>
      <c r="E33" s="584"/>
      <c r="F33" s="585"/>
      <c r="G33" s="584"/>
      <c r="H33" s="586"/>
      <c r="I33" s="584"/>
      <c r="J33" s="586"/>
      <c r="K33" s="584"/>
      <c r="L33" s="586"/>
      <c r="M33" s="584"/>
      <c r="N33" s="585"/>
      <c r="O33" s="588"/>
      <c r="P33" s="587"/>
    </row>
    <row r="34" spans="1:16" ht="13.5" customHeight="1">
      <c r="A34" s="526" t="str">
        <f>ORÇAMENTO!A36</f>
        <v>4.0</v>
      </c>
      <c r="B34" s="1029" t="str">
        <f>ORÇAMENTO!C36</f>
        <v>PAVIMENTAÇÃO PASSEIO</v>
      </c>
      <c r="C34" s="1029"/>
      <c r="D34" s="1029"/>
      <c r="E34" s="611">
        <f>SUM(E35:E40)</f>
        <v>13322.128</v>
      </c>
      <c r="F34" s="610">
        <f>E34/$O$34</f>
        <v>0.4</v>
      </c>
      <c r="G34" s="611">
        <f>SUM(G35:G40)</f>
        <v>19983.191999999995</v>
      </c>
      <c r="H34" s="610">
        <f>G34/$O$34</f>
        <v>0.5999999999999999</v>
      </c>
      <c r="I34" s="611">
        <f>SUM(I35:I40)</f>
        <v>0</v>
      </c>
      <c r="J34" s="610">
        <f>I34/$O$34</f>
        <v>0</v>
      </c>
      <c r="K34" s="611">
        <f>SUM(K35:K40)</f>
        <v>0</v>
      </c>
      <c r="L34" s="610">
        <f>K34/$O$34</f>
        <v>0</v>
      </c>
      <c r="M34" s="611">
        <f>SUM(M35:M40)</f>
        <v>0</v>
      </c>
      <c r="N34" s="610">
        <f>M34/$O$34</f>
        <v>0</v>
      </c>
      <c r="O34" s="601">
        <f>SUM(O35:O40)</f>
        <v>33305.32</v>
      </c>
      <c r="P34" s="604">
        <f aca="true" t="shared" si="6" ref="P34:P40">(O34/$O$55)</f>
        <v>0.18681813158982635</v>
      </c>
    </row>
    <row r="35" spans="1:16" ht="13.5" customHeight="1">
      <c r="A35" s="434" t="str">
        <f>ORÇAMENTO!A37</f>
        <v>4.1</v>
      </c>
      <c r="B35" s="1028" t="str">
        <f>ORÇAMENTO!C37</f>
        <v>Material para aterro/reaterro (barro, argila ou saibro) - com transporte até 10 km</v>
      </c>
      <c r="C35" s="1028"/>
      <c r="D35" s="1028"/>
      <c r="E35" s="450">
        <f aca="true" t="shared" si="7" ref="E35:E40">F35*O35</f>
        <v>193.284</v>
      </c>
      <c r="F35" s="606">
        <v>0.4</v>
      </c>
      <c r="G35" s="450">
        <f aca="true" t="shared" si="8" ref="G35:G40">H35*O35</f>
        <v>289.926</v>
      </c>
      <c r="H35" s="606">
        <v>0.6</v>
      </c>
      <c r="I35" s="450">
        <f aca="true" t="shared" si="9" ref="I35:I40">J35*O35</f>
        <v>0</v>
      </c>
      <c r="J35" s="606">
        <v>0</v>
      </c>
      <c r="K35" s="450">
        <f aca="true" t="shared" si="10" ref="K35:K40">L35*O35</f>
        <v>0</v>
      </c>
      <c r="L35" s="606">
        <v>0</v>
      </c>
      <c r="M35" s="450">
        <f aca="true" t="shared" si="11" ref="M35:M40">N35*O35</f>
        <v>0</v>
      </c>
      <c r="N35" s="606">
        <v>0</v>
      </c>
      <c r="O35" s="451">
        <f>ORÇAMENTO!I37</f>
        <v>483.21</v>
      </c>
      <c r="P35" s="608">
        <f t="shared" si="6"/>
        <v>0.0027104495427613365</v>
      </c>
    </row>
    <row r="36" spans="1:16" ht="13.5" customHeight="1">
      <c r="A36" s="434" t="str">
        <f>ORÇAMENTO!A38</f>
        <v>4.2</v>
      </c>
      <c r="B36" s="1028" t="str">
        <f>ORÇAMENTO!C39</f>
        <v>Meio-fio interno 15 x 30 x 80 cm - incluindo rejunte e reaterro - fck=25 MPa</v>
      </c>
      <c r="C36" s="1028"/>
      <c r="D36" s="1028"/>
      <c r="E36" s="450">
        <f>F36*O36</f>
        <v>609.628</v>
      </c>
      <c r="F36" s="606">
        <v>0.4</v>
      </c>
      <c r="G36" s="450">
        <f>H36*O36</f>
        <v>914.4419999999999</v>
      </c>
      <c r="H36" s="606">
        <v>0.6</v>
      </c>
      <c r="I36" s="450">
        <f>J36*O36</f>
        <v>0</v>
      </c>
      <c r="J36" s="606">
        <v>0</v>
      </c>
      <c r="K36" s="450">
        <f>L36*O36</f>
        <v>0</v>
      </c>
      <c r="L36" s="606">
        <v>0</v>
      </c>
      <c r="M36" s="450">
        <f>N36*O36</f>
        <v>0</v>
      </c>
      <c r="N36" s="606">
        <v>0</v>
      </c>
      <c r="O36" s="451">
        <f>ORÇAMENTO!I38</f>
        <v>1524.07</v>
      </c>
      <c r="P36" s="608">
        <f t="shared" si="6"/>
        <v>0.008548901791428717</v>
      </c>
    </row>
    <row r="37" spans="1:16" ht="13.5" customHeight="1">
      <c r="A37" s="434" t="str">
        <f>ORÇAMENTO!A39</f>
        <v>4.3</v>
      </c>
      <c r="B37" s="1028" t="str">
        <f>ORÇAMENTO!C39</f>
        <v>Meio-fio interno 15 x 30 x 80 cm - incluindo rejunte e reaterro - fck=25 MPa</v>
      </c>
      <c r="C37" s="1028"/>
      <c r="D37" s="1028"/>
      <c r="E37" s="450">
        <f t="shared" si="7"/>
        <v>5059.936000000001</v>
      </c>
      <c r="F37" s="606">
        <v>0.4</v>
      </c>
      <c r="G37" s="450">
        <f t="shared" si="8"/>
        <v>7589.9039999999995</v>
      </c>
      <c r="H37" s="606">
        <v>0.6</v>
      </c>
      <c r="I37" s="450">
        <f t="shared" si="9"/>
        <v>0</v>
      </c>
      <c r="J37" s="606">
        <v>0</v>
      </c>
      <c r="K37" s="450">
        <f t="shared" si="10"/>
        <v>0</v>
      </c>
      <c r="L37" s="606">
        <v>0</v>
      </c>
      <c r="M37" s="450">
        <f t="shared" si="11"/>
        <v>0</v>
      </c>
      <c r="N37" s="606">
        <v>0</v>
      </c>
      <c r="O37" s="451">
        <f>ORÇAMENTO!I39</f>
        <v>12649.84</v>
      </c>
      <c r="P37" s="608">
        <f t="shared" si="6"/>
        <v>0.07095621581507847</v>
      </c>
    </row>
    <row r="38" spans="1:16" ht="13.5" customHeight="1">
      <c r="A38" s="434" t="str">
        <f>ORÇAMENTO!A40</f>
        <v>4.4</v>
      </c>
      <c r="B38" s="1028" t="str">
        <f>ORÇAMENTO!C40</f>
        <v>Pavimento intertravado paver holand cinza 20 x 10 x 6 cm fck=35 MPa</v>
      </c>
      <c r="C38" s="1028"/>
      <c r="D38" s="1028"/>
      <c r="E38" s="450">
        <f t="shared" si="7"/>
        <v>5518.812000000001</v>
      </c>
      <c r="F38" s="606">
        <v>0.4</v>
      </c>
      <c r="G38" s="450">
        <f t="shared" si="8"/>
        <v>8278.218</v>
      </c>
      <c r="H38" s="606">
        <v>0.6</v>
      </c>
      <c r="I38" s="450">
        <f t="shared" si="9"/>
        <v>0</v>
      </c>
      <c r="J38" s="606">
        <v>0</v>
      </c>
      <c r="K38" s="450">
        <f t="shared" si="10"/>
        <v>0</v>
      </c>
      <c r="L38" s="606">
        <v>0</v>
      </c>
      <c r="M38" s="450">
        <f t="shared" si="11"/>
        <v>0</v>
      </c>
      <c r="N38" s="606">
        <v>0</v>
      </c>
      <c r="O38" s="451">
        <f>ORÇAMENTO!I40</f>
        <v>13797.03</v>
      </c>
      <c r="P38" s="608">
        <f t="shared" si="6"/>
        <v>0.07739110046349298</v>
      </c>
    </row>
    <row r="39" spans="1:16" ht="13.5" customHeight="1">
      <c r="A39" s="434" t="str">
        <f>ORÇAMENTO!A41</f>
        <v>4.5</v>
      </c>
      <c r="B39" s="1028" t="str">
        <f>ORÇAMENTO!C41</f>
        <v>Sinalização tátil direcional 20 x 20 x 6 cm fck=35 MPa</v>
      </c>
      <c r="C39" s="1028"/>
      <c r="D39" s="1028"/>
      <c r="E39" s="450">
        <f t="shared" si="7"/>
        <v>1744.112</v>
      </c>
      <c r="F39" s="606">
        <v>0.4</v>
      </c>
      <c r="G39" s="450">
        <f t="shared" si="8"/>
        <v>2616.1679999999997</v>
      </c>
      <c r="H39" s="606">
        <v>0.6</v>
      </c>
      <c r="I39" s="450">
        <f t="shared" si="9"/>
        <v>0</v>
      </c>
      <c r="J39" s="606">
        <v>0</v>
      </c>
      <c r="K39" s="450">
        <f t="shared" si="10"/>
        <v>0</v>
      </c>
      <c r="L39" s="606">
        <v>0</v>
      </c>
      <c r="M39" s="450">
        <f t="shared" si="11"/>
        <v>0</v>
      </c>
      <c r="N39" s="606">
        <v>0</v>
      </c>
      <c r="O39" s="451">
        <f>ORÇAMENTO!I41</f>
        <v>4360.28</v>
      </c>
      <c r="P39" s="608">
        <f t="shared" si="6"/>
        <v>0.024457935333108586</v>
      </c>
    </row>
    <row r="40" spans="1:16" ht="13.5" customHeight="1">
      <c r="A40" s="434" t="str">
        <f>ORÇAMENTO!A42</f>
        <v>4.6</v>
      </c>
      <c r="B40" s="1028" t="str">
        <f>ORÇAMENTO!C42</f>
        <v>Sinalização tátil de alerta 20 x 20 x 6 cm fck=35 MPa</v>
      </c>
      <c r="C40" s="1028"/>
      <c r="D40" s="1028"/>
      <c r="E40" s="450">
        <f t="shared" si="7"/>
        <v>196.356</v>
      </c>
      <c r="F40" s="606">
        <v>0.4</v>
      </c>
      <c r="G40" s="450">
        <f t="shared" si="8"/>
        <v>294.534</v>
      </c>
      <c r="H40" s="606">
        <v>0.6</v>
      </c>
      <c r="I40" s="450">
        <f t="shared" si="9"/>
        <v>0</v>
      </c>
      <c r="J40" s="606">
        <v>0</v>
      </c>
      <c r="K40" s="450">
        <f t="shared" si="10"/>
        <v>0</v>
      </c>
      <c r="L40" s="606">
        <v>0</v>
      </c>
      <c r="M40" s="450">
        <f t="shared" si="11"/>
        <v>0</v>
      </c>
      <c r="N40" s="606">
        <v>0</v>
      </c>
      <c r="O40" s="451">
        <f>ORÇAMENTO!I42</f>
        <v>490.89</v>
      </c>
      <c r="P40" s="608">
        <f t="shared" si="6"/>
        <v>0.0027535286439562766</v>
      </c>
    </row>
    <row r="41" spans="1:16" ht="13.5" customHeight="1" thickBot="1">
      <c r="A41" s="541"/>
      <c r="B41" s="1002"/>
      <c r="C41" s="1002"/>
      <c r="D41" s="1002"/>
      <c r="E41" s="584"/>
      <c r="F41" s="585"/>
      <c r="G41" s="584"/>
      <c r="H41" s="586"/>
      <c r="I41" s="584"/>
      <c r="J41" s="586"/>
      <c r="K41" s="584"/>
      <c r="L41" s="586"/>
      <c r="M41" s="584"/>
      <c r="N41" s="585"/>
      <c r="O41" s="588"/>
      <c r="P41" s="587"/>
    </row>
    <row r="42" spans="1:16" ht="13.5" customHeight="1">
      <c r="A42" s="526" t="str">
        <f>ORÇAMENTO!A44</f>
        <v>5.0</v>
      </c>
      <c r="B42" s="1029" t="str">
        <f>ORÇAMENTO!C44</f>
        <v>RAMPA ACESSO PASSEIO DEFICIENTE FÍSICO</v>
      </c>
      <c r="C42" s="1029"/>
      <c r="D42" s="1029"/>
      <c r="E42" s="611">
        <f>SUM(E43:E45)</f>
        <v>0</v>
      </c>
      <c r="F42" s="610">
        <f>E42/$O$42</f>
        <v>0</v>
      </c>
      <c r="G42" s="611">
        <f>SUM(G43:G45)</f>
        <v>1397.71</v>
      </c>
      <c r="H42" s="610">
        <f>G42/$O$42</f>
        <v>1</v>
      </c>
      <c r="I42" s="611">
        <f>SUM(I43:I45)</f>
        <v>0</v>
      </c>
      <c r="J42" s="610">
        <f>I42/$O$42</f>
        <v>0</v>
      </c>
      <c r="K42" s="611">
        <f>SUM(K43:K45)</f>
        <v>0</v>
      </c>
      <c r="L42" s="610">
        <f>K42/$O$42</f>
        <v>0</v>
      </c>
      <c r="M42" s="611">
        <f>SUM(M43:M45)</f>
        <v>0</v>
      </c>
      <c r="N42" s="610">
        <f>M42/$O$42</f>
        <v>0</v>
      </c>
      <c r="O42" s="601">
        <f>SUM(O43:O45)</f>
        <v>1397.71</v>
      </c>
      <c r="P42" s="604">
        <f>(O42/$O$55)</f>
        <v>0.007840115954580716</v>
      </c>
    </row>
    <row r="43" spans="1:16" ht="13.5" customHeight="1">
      <c r="A43" s="434" t="str">
        <f>ORÇAMENTO!A45</f>
        <v>5.1</v>
      </c>
      <c r="B43" s="1028" t="str">
        <f>ORÇAMENTO!C45</f>
        <v>Concreto simples h=7 cm, virado em betoneira fck=20 MPa</v>
      </c>
      <c r="C43" s="1028"/>
      <c r="D43" s="1028"/>
      <c r="E43" s="450">
        <f>F43*O43</f>
        <v>0</v>
      </c>
      <c r="F43" s="606">
        <v>0</v>
      </c>
      <c r="G43" s="450">
        <f>H43*O43</f>
        <v>1326</v>
      </c>
      <c r="H43" s="606">
        <v>1</v>
      </c>
      <c r="I43" s="450">
        <f>J43*O43</f>
        <v>0</v>
      </c>
      <c r="J43" s="606">
        <v>0</v>
      </c>
      <c r="K43" s="450">
        <f>L43*O43</f>
        <v>0</v>
      </c>
      <c r="L43" s="606">
        <v>0</v>
      </c>
      <c r="M43" s="450">
        <f>N43*O43</f>
        <v>0</v>
      </c>
      <c r="N43" s="606">
        <v>0</v>
      </c>
      <c r="O43" s="451">
        <f>ORÇAMENTO!I45</f>
        <v>1326</v>
      </c>
      <c r="P43" s="608">
        <f>(O43/$O$55)</f>
        <v>0.007437876065688897</v>
      </c>
    </row>
    <row r="44" spans="1:16" ht="13.5" customHeight="1">
      <c r="A44" s="434" t="str">
        <f>ORÇAMENTO!A46</f>
        <v>5.2</v>
      </c>
      <c r="B44" s="1028" t="str">
        <f>ORÇAMENTO!C46</f>
        <v>Pintura símbolo Deficiente Físico - Cor fundo azul 60 x 60 cm</v>
      </c>
      <c r="C44" s="1028"/>
      <c r="D44" s="1028"/>
      <c r="E44" s="450">
        <f>F44*O44</f>
        <v>0</v>
      </c>
      <c r="F44" s="606">
        <v>0</v>
      </c>
      <c r="G44" s="450">
        <f>H44*O44</f>
        <v>63.02</v>
      </c>
      <c r="H44" s="606">
        <v>1</v>
      </c>
      <c r="I44" s="450">
        <f>J44*O44</f>
        <v>0</v>
      </c>
      <c r="J44" s="606">
        <v>0</v>
      </c>
      <c r="K44" s="450">
        <f>L44*O44</f>
        <v>0</v>
      </c>
      <c r="L44" s="606">
        <v>0</v>
      </c>
      <c r="M44" s="450">
        <f>N44*O44</f>
        <v>0</v>
      </c>
      <c r="N44" s="606">
        <v>0</v>
      </c>
      <c r="O44" s="451">
        <f>ORÇAMENTO!I46</f>
        <v>63.02</v>
      </c>
      <c r="P44" s="608">
        <f>(O44/$O$55)</f>
        <v>0.00035349543714910587</v>
      </c>
    </row>
    <row r="45" spans="1:16" ht="13.5" customHeight="1">
      <c r="A45" s="434" t="str">
        <f>ORÇAMENTO!A47</f>
        <v>5.3</v>
      </c>
      <c r="B45" s="1028" t="str">
        <f>ORÇAMENTO!C47</f>
        <v>Pintura símbolo Deficiente Físico - Pictograma cor branca</v>
      </c>
      <c r="C45" s="1028"/>
      <c r="D45" s="1028"/>
      <c r="E45" s="450">
        <f>F45*O45</f>
        <v>0</v>
      </c>
      <c r="F45" s="606">
        <v>0</v>
      </c>
      <c r="G45" s="450">
        <f>H45*O45</f>
        <v>8.69</v>
      </c>
      <c r="H45" s="606">
        <v>1</v>
      </c>
      <c r="I45" s="450">
        <f>J45*O45</f>
        <v>0</v>
      </c>
      <c r="J45" s="606">
        <v>0</v>
      </c>
      <c r="K45" s="450">
        <f>L45*O45</f>
        <v>0</v>
      </c>
      <c r="L45" s="606">
        <v>0</v>
      </c>
      <c r="M45" s="450">
        <f>N45*O45</f>
        <v>0</v>
      </c>
      <c r="N45" s="606">
        <v>0</v>
      </c>
      <c r="O45" s="451">
        <f>ORÇAMENTO!I47</f>
        <v>8.69</v>
      </c>
      <c r="P45" s="608">
        <f>(O45/$O$55)</f>
        <v>4.874445174271231E-05</v>
      </c>
    </row>
    <row r="46" spans="1:16" ht="13.5" customHeight="1" thickBot="1">
      <c r="A46" s="541"/>
      <c r="B46" s="1002"/>
      <c r="C46" s="1002"/>
      <c r="D46" s="1002"/>
      <c r="E46" s="584"/>
      <c r="F46" s="585"/>
      <c r="G46" s="584"/>
      <c r="H46" s="586"/>
      <c r="I46" s="584"/>
      <c r="J46" s="586"/>
      <c r="K46" s="584"/>
      <c r="L46" s="586"/>
      <c r="M46" s="584"/>
      <c r="N46" s="585"/>
      <c r="O46" s="588"/>
      <c r="P46" s="587"/>
    </row>
    <row r="47" spans="1:16" ht="13.5" customHeight="1">
      <c r="A47" s="526" t="str">
        <f>ORÇAMENTO!A49</f>
        <v>6.0</v>
      </c>
      <c r="B47" s="1029" t="str">
        <f>ORÇAMENTO!C49</f>
        <v>SINALIZAÇÃO</v>
      </c>
      <c r="C47" s="1029"/>
      <c r="D47" s="1029"/>
      <c r="E47" s="611">
        <f>SUM(E48:E53)</f>
        <v>0</v>
      </c>
      <c r="F47" s="610">
        <f>E47/$O$47</f>
        <v>0</v>
      </c>
      <c r="G47" s="611">
        <f>SUM(G48:G53)</f>
        <v>4713.26</v>
      </c>
      <c r="H47" s="610">
        <f>G47/$O$47</f>
        <v>1</v>
      </c>
      <c r="I47" s="611">
        <f>SUM(I48:I53)</f>
        <v>0</v>
      </c>
      <c r="J47" s="610">
        <f>I47/$O$47</f>
        <v>0</v>
      </c>
      <c r="K47" s="611">
        <f>SUM(K48:K53)</f>
        <v>0</v>
      </c>
      <c r="L47" s="610">
        <f>K47/$O$47</f>
        <v>0</v>
      </c>
      <c r="M47" s="611">
        <f>SUM(M48:M53)</f>
        <v>0</v>
      </c>
      <c r="N47" s="610">
        <f>M47/$O$47</f>
        <v>0</v>
      </c>
      <c r="O47" s="601">
        <f>SUM(O48:O53)</f>
        <v>4713.26</v>
      </c>
      <c r="P47" s="604">
        <f aca="true" t="shared" si="12" ref="P47:P53">(O47/$O$55)</f>
        <v>0.02643789121068541</v>
      </c>
    </row>
    <row r="48" spans="1:16" ht="13.5" customHeight="1">
      <c r="A48" s="434" t="str">
        <f>ORÇAMENTO!A50</f>
        <v>6.1</v>
      </c>
      <c r="B48" s="1028" t="str">
        <f>ORÇAMENTO!C50</f>
        <v>Pintura faixa de travessia de pedestres zebrada - FTP-1 cor branca</v>
      </c>
      <c r="C48" s="1028"/>
      <c r="D48" s="1028"/>
      <c r="E48" s="450">
        <f aca="true" t="shared" si="13" ref="E48:E53">F48*O48</f>
        <v>0</v>
      </c>
      <c r="F48" s="606">
        <v>0</v>
      </c>
      <c r="G48" s="450">
        <f aca="true" t="shared" si="14" ref="G48:G53">H48*O48</f>
        <v>1093.02</v>
      </c>
      <c r="H48" s="606">
        <v>1</v>
      </c>
      <c r="I48" s="450">
        <f aca="true" t="shared" si="15" ref="I48:I53">J48*O48</f>
        <v>0</v>
      </c>
      <c r="J48" s="606">
        <v>0</v>
      </c>
      <c r="K48" s="450">
        <f aca="true" t="shared" si="16" ref="K48:K53">L48*O48</f>
        <v>0</v>
      </c>
      <c r="L48" s="606">
        <v>0</v>
      </c>
      <c r="M48" s="450">
        <f aca="true" t="shared" si="17" ref="M48:M53">N48*O48</f>
        <v>0</v>
      </c>
      <c r="N48" s="606">
        <v>0</v>
      </c>
      <c r="O48" s="451">
        <f>ORÇAMENTO!I50</f>
        <v>1093.02</v>
      </c>
      <c r="P48" s="608">
        <f t="shared" si="12"/>
        <v>0.0061310311442830156</v>
      </c>
    </row>
    <row r="49" spans="1:16" ht="13.5" customHeight="1">
      <c r="A49" s="434" t="str">
        <f>ORÇAMENTO!A51</f>
        <v>6.2</v>
      </c>
      <c r="B49" s="1028" t="str">
        <f>ORÇAMENTO!C51</f>
        <v>Placa de regulamentação R-1 - (Parada obrigatória)*</v>
      </c>
      <c r="C49" s="1028"/>
      <c r="D49" s="1028"/>
      <c r="E49" s="450">
        <f t="shared" si="13"/>
        <v>0</v>
      </c>
      <c r="F49" s="606">
        <v>0</v>
      </c>
      <c r="G49" s="450">
        <f t="shared" si="14"/>
        <v>223.69</v>
      </c>
      <c r="H49" s="606">
        <v>1</v>
      </c>
      <c r="I49" s="450">
        <f t="shared" si="15"/>
        <v>0</v>
      </c>
      <c r="J49" s="606">
        <v>0</v>
      </c>
      <c r="K49" s="450">
        <f t="shared" si="16"/>
        <v>0</v>
      </c>
      <c r="L49" s="606">
        <v>0</v>
      </c>
      <c r="M49" s="450">
        <f t="shared" si="17"/>
        <v>0</v>
      </c>
      <c r="N49" s="606">
        <v>0</v>
      </c>
      <c r="O49" s="451">
        <f>ORÇAMENTO!I51</f>
        <v>223.69</v>
      </c>
      <c r="P49" s="608">
        <f t="shared" si="12"/>
        <v>0.0012547349148823148</v>
      </c>
    </row>
    <row r="50" spans="1:16" ht="13.5" customHeight="1">
      <c r="A50" s="434" t="str">
        <f>ORÇAMENTO!A52</f>
        <v>6.3</v>
      </c>
      <c r="B50" s="1028" t="str">
        <f>ORÇAMENTO!C52</f>
        <v>Placa regulamentadora R-19- (Velocidade maxima permitida)*</v>
      </c>
      <c r="C50" s="1028"/>
      <c r="D50" s="1028"/>
      <c r="E50" s="450">
        <f t="shared" si="13"/>
        <v>0</v>
      </c>
      <c r="F50" s="606">
        <v>0</v>
      </c>
      <c r="G50" s="450">
        <f t="shared" si="14"/>
        <v>447.37</v>
      </c>
      <c r="H50" s="606">
        <v>1</v>
      </c>
      <c r="I50" s="450">
        <f t="shared" si="15"/>
        <v>0</v>
      </c>
      <c r="J50" s="606">
        <v>0</v>
      </c>
      <c r="K50" s="450">
        <f t="shared" si="16"/>
        <v>0</v>
      </c>
      <c r="L50" s="606">
        <v>0</v>
      </c>
      <c r="M50" s="450">
        <f t="shared" si="17"/>
        <v>0</v>
      </c>
      <c r="N50" s="606">
        <v>0</v>
      </c>
      <c r="O50" s="451">
        <f>ORÇAMENTO!I52</f>
        <v>447.37</v>
      </c>
      <c r="P50" s="608">
        <f t="shared" si="12"/>
        <v>0.0025094137371849488</v>
      </c>
    </row>
    <row r="51" spans="1:16" ht="13.5" customHeight="1">
      <c r="A51" s="434" t="str">
        <f>ORÇAMENTO!A53</f>
        <v>6.4</v>
      </c>
      <c r="B51" s="1028" t="str">
        <f>ORÇAMENTO!C53</f>
        <v>Placa de advertência A-32b - (Passagem sinalizada de pedestres)*</v>
      </c>
      <c r="C51" s="1028"/>
      <c r="D51" s="1028"/>
      <c r="E51" s="450">
        <f t="shared" si="13"/>
        <v>0</v>
      </c>
      <c r="F51" s="606">
        <v>0</v>
      </c>
      <c r="G51" s="450">
        <f t="shared" si="14"/>
        <v>1081.15</v>
      </c>
      <c r="H51" s="606">
        <v>1</v>
      </c>
      <c r="I51" s="450">
        <f t="shared" si="15"/>
        <v>0</v>
      </c>
      <c r="J51" s="606">
        <v>0</v>
      </c>
      <c r="K51" s="450">
        <f t="shared" si="16"/>
        <v>0</v>
      </c>
      <c r="L51" s="606">
        <v>0</v>
      </c>
      <c r="M51" s="450">
        <f t="shared" si="17"/>
        <v>0</v>
      </c>
      <c r="N51" s="606">
        <v>0</v>
      </c>
      <c r="O51" s="451">
        <f>ORÇAMENTO!I53</f>
        <v>1081.15</v>
      </c>
      <c r="P51" s="608">
        <f t="shared" si="12"/>
        <v>0.006064449252201774</v>
      </c>
    </row>
    <row r="52" spans="1:16" ht="13.5" customHeight="1">
      <c r="A52" s="434" t="str">
        <f>ORÇAMENTO!A54</f>
        <v>6.5</v>
      </c>
      <c r="B52" s="1028" t="str">
        <f>ORÇAMENTO!C54</f>
        <v>Tubo de aço galvanizado c/ costura DIN 2440/NBR 5580 classe media DN 1.1/4" (32mm) e=3,25mm - 3,14kg/m</v>
      </c>
      <c r="C52" s="1028"/>
      <c r="D52" s="1028"/>
      <c r="E52" s="450">
        <f t="shared" si="13"/>
        <v>0</v>
      </c>
      <c r="F52" s="606">
        <v>0</v>
      </c>
      <c r="G52" s="450">
        <f t="shared" si="14"/>
        <v>1371.01</v>
      </c>
      <c r="H52" s="606">
        <v>1</v>
      </c>
      <c r="I52" s="450">
        <f t="shared" si="15"/>
        <v>0</v>
      </c>
      <c r="J52" s="606">
        <v>0</v>
      </c>
      <c r="K52" s="450">
        <f t="shared" si="16"/>
        <v>0</v>
      </c>
      <c r="L52" s="606">
        <v>0</v>
      </c>
      <c r="M52" s="450">
        <f t="shared" si="17"/>
        <v>0</v>
      </c>
      <c r="N52" s="606">
        <v>0</v>
      </c>
      <c r="O52" s="451">
        <f>ORÇAMENTO!I54</f>
        <v>1371.01</v>
      </c>
      <c r="P52" s="608">
        <f t="shared" si="12"/>
        <v>0.007690348766832681</v>
      </c>
    </row>
    <row r="53" spans="1:16" ht="13.5" customHeight="1">
      <c r="A53" s="434" t="str">
        <f>ORÇAMENTO!A55</f>
        <v>6.6</v>
      </c>
      <c r="B53" s="1028" t="str">
        <f>ORÇAMENTO!C55</f>
        <v>Placa de Identificação de rua</v>
      </c>
      <c r="C53" s="1028"/>
      <c r="D53" s="1028"/>
      <c r="E53" s="450">
        <f t="shared" si="13"/>
        <v>0</v>
      </c>
      <c r="F53" s="606">
        <v>0</v>
      </c>
      <c r="G53" s="450">
        <f t="shared" si="14"/>
        <v>497.02</v>
      </c>
      <c r="H53" s="606">
        <v>1</v>
      </c>
      <c r="I53" s="450">
        <f t="shared" si="15"/>
        <v>0</v>
      </c>
      <c r="J53" s="606">
        <v>0</v>
      </c>
      <c r="K53" s="450">
        <f t="shared" si="16"/>
        <v>0</v>
      </c>
      <c r="L53" s="606">
        <v>0</v>
      </c>
      <c r="M53" s="450">
        <f t="shared" si="17"/>
        <v>0</v>
      </c>
      <c r="N53" s="606">
        <v>0</v>
      </c>
      <c r="O53" s="451">
        <f>ORÇAMENTO!I55</f>
        <v>497.02</v>
      </c>
      <c r="P53" s="608">
        <f t="shared" si="12"/>
        <v>0.0027879133953006754</v>
      </c>
    </row>
    <row r="54" spans="1:16" ht="13.5" customHeight="1" thickBot="1">
      <c r="A54" s="591"/>
      <c r="B54" s="1016"/>
      <c r="C54" s="1017"/>
      <c r="D54" s="1017"/>
      <c r="E54" s="581"/>
      <c r="F54" s="582"/>
      <c r="G54" s="581"/>
      <c r="H54" s="583"/>
      <c r="I54" s="581"/>
      <c r="J54" s="582"/>
      <c r="K54" s="581"/>
      <c r="L54" s="582"/>
      <c r="M54" s="581"/>
      <c r="N54" s="582"/>
      <c r="O54" s="454"/>
      <c r="P54" s="455"/>
    </row>
    <row r="55" spans="1:16" s="9" customFormat="1" ht="13.5" customHeight="1">
      <c r="A55" s="1018" t="s">
        <v>493</v>
      </c>
      <c r="B55" s="1019"/>
      <c r="C55" s="1019"/>
      <c r="D55" s="1019"/>
      <c r="E55" s="589">
        <f>E10+E13+E29+E34+E42+E47</f>
        <v>99719.888</v>
      </c>
      <c r="F55" s="590">
        <f>IF($O$55&lt;&gt;0,E55*100/$O$55,0)</f>
        <v>55.935457634115956</v>
      </c>
      <c r="G55" s="589">
        <f>G10+G13+G29+G34+G42+G47</f>
        <v>78556.812</v>
      </c>
      <c r="H55" s="590">
        <f>IF($O$55&lt;&gt;0,G55*100/$O$55,0)</f>
        <v>44.064542365884044</v>
      </c>
      <c r="I55" s="589">
        <f>I10+I13+I29+I34+I42+I47</f>
        <v>0</v>
      </c>
      <c r="J55" s="590">
        <f>IF($O$55&lt;&gt;0,I55*100/$O$55,0)</f>
        <v>0</v>
      </c>
      <c r="K55" s="589">
        <f>K10+K13+K29+K34+K42+K47</f>
        <v>0</v>
      </c>
      <c r="L55" s="590">
        <f>IF($O$55&lt;&gt;0,K55*100/$O$55,0)</f>
        <v>0</v>
      </c>
      <c r="M55" s="589">
        <f>M10+M13+M29+M34+M42+M47</f>
        <v>0</v>
      </c>
      <c r="N55" s="589">
        <f>N10+N13+N29+N34+N42+N47</f>
        <v>0</v>
      </c>
      <c r="O55" s="603">
        <f>O10+O13+O29+O34+O42+O47</f>
        <v>178276.7</v>
      </c>
      <c r="P55" s="607">
        <f>P10+P29+P13+P34+P42+P47</f>
        <v>0.9999999999999999</v>
      </c>
    </row>
    <row r="56" spans="1:16" s="9" customFormat="1" ht="13.5" customHeight="1" thickBot="1">
      <c r="A56" s="1020" t="s">
        <v>494</v>
      </c>
      <c r="B56" s="1021"/>
      <c r="C56" s="1021"/>
      <c r="D56" s="1021"/>
      <c r="E56" s="452">
        <f>E55</f>
        <v>99719.888</v>
      </c>
      <c r="F56" s="453">
        <f>F55</f>
        <v>55.935457634115956</v>
      </c>
      <c r="G56" s="452">
        <f aca="true" t="shared" si="18" ref="G56:L56">E56+G55</f>
        <v>178276.7</v>
      </c>
      <c r="H56" s="453">
        <f>F56+H55</f>
        <v>100</v>
      </c>
      <c r="I56" s="452">
        <f t="shared" si="18"/>
        <v>178276.7</v>
      </c>
      <c r="J56" s="453">
        <f t="shared" si="18"/>
        <v>100</v>
      </c>
      <c r="K56" s="452">
        <f t="shared" si="18"/>
        <v>178276.7</v>
      </c>
      <c r="L56" s="453">
        <f t="shared" si="18"/>
        <v>100</v>
      </c>
      <c r="M56" s="452">
        <f>K56+M55</f>
        <v>178276.7</v>
      </c>
      <c r="N56" s="453">
        <f>L56+N55</f>
        <v>100</v>
      </c>
      <c r="O56" s="454"/>
      <c r="P56" s="455"/>
    </row>
    <row r="57" spans="1:16" s="9" customFormat="1" ht="13.5" customHeight="1" thickBot="1">
      <c r="A57" s="613"/>
      <c r="B57" s="613"/>
      <c r="C57" s="613"/>
      <c r="D57" s="614"/>
      <c r="E57" s="615"/>
      <c r="F57" s="616"/>
      <c r="G57" s="617"/>
      <c r="H57" s="616"/>
      <c r="I57" s="617"/>
      <c r="J57" s="616"/>
      <c r="K57" s="617"/>
      <c r="L57" s="616"/>
      <c r="M57" s="618"/>
      <c r="N57" s="619"/>
      <c r="O57" s="620"/>
      <c r="P57" s="620"/>
    </row>
    <row r="58" spans="1:16" ht="13.5" customHeight="1">
      <c r="A58" s="1022" t="s">
        <v>495</v>
      </c>
      <c r="B58" s="1023"/>
      <c r="C58" s="1023"/>
      <c r="D58" s="1023"/>
      <c r="E58" s="1022" t="s">
        <v>565</v>
      </c>
      <c r="F58" s="1023"/>
      <c r="G58" s="1023"/>
      <c r="H58" s="1023"/>
      <c r="I58" s="1023"/>
      <c r="J58" s="1023"/>
      <c r="K58" s="1023"/>
      <c r="L58" s="1024"/>
      <c r="M58" s="624"/>
      <c r="N58" s="1023" t="s">
        <v>496</v>
      </c>
      <c r="O58" s="1023"/>
      <c r="P58" s="1024"/>
    </row>
    <row r="59" spans="1:16" ht="13.5" customHeight="1">
      <c r="A59" s="972"/>
      <c r="B59" s="973"/>
      <c r="C59" s="973"/>
      <c r="D59" s="973"/>
      <c r="E59" s="1025" t="str">
        <f>'dados de entrada'!B6</f>
        <v>Carlos Alberto Bley</v>
      </c>
      <c r="F59" s="1026"/>
      <c r="G59" s="1026"/>
      <c r="H59" s="1026"/>
      <c r="I59" s="1026"/>
      <c r="J59" s="1026"/>
      <c r="K59" s="1026"/>
      <c r="L59" s="1027"/>
      <c r="M59" s="625"/>
      <c r="N59" s="612"/>
      <c r="O59" s="612"/>
      <c r="P59" s="621"/>
    </row>
    <row r="60" spans="1:16" ht="13.5" customHeight="1">
      <c r="A60" s="1034">
        <f>'dados de entrada'!B3</f>
        <v>41671</v>
      </c>
      <c r="B60" s="1035"/>
      <c r="C60" s="1035"/>
      <c r="D60" s="1035"/>
      <c r="E60" s="972" t="s">
        <v>566</v>
      </c>
      <c r="F60" s="973"/>
      <c r="G60" s="973"/>
      <c r="H60" s="973"/>
      <c r="I60" s="973"/>
      <c r="J60" s="973"/>
      <c r="K60" s="973"/>
      <c r="L60" s="974"/>
      <c r="M60" s="612"/>
      <c r="N60" s="612"/>
      <c r="O60" s="612"/>
      <c r="P60" s="621"/>
    </row>
    <row r="61" spans="1:16" ht="13.5" customHeight="1" thickBot="1">
      <c r="A61" s="1036"/>
      <c r="B61" s="1037"/>
      <c r="C61" s="1037"/>
      <c r="D61" s="1037"/>
      <c r="E61" s="975" t="str">
        <f>'dados de entrada'!B17</f>
        <v>Engenheiro Civil - CREA SC 008.333-3</v>
      </c>
      <c r="F61" s="976"/>
      <c r="G61" s="976"/>
      <c r="H61" s="976"/>
      <c r="I61" s="976"/>
      <c r="J61" s="976"/>
      <c r="K61" s="976"/>
      <c r="L61" s="977"/>
      <c r="M61" s="622"/>
      <c r="N61" s="622"/>
      <c r="O61" s="622"/>
      <c r="P61" s="623"/>
    </row>
    <row r="62" spans="1:16" ht="16.5" customHeight="1">
      <c r="A62" s="1013"/>
      <c r="B62" s="1013"/>
      <c r="C62" s="1013"/>
      <c r="D62" s="1013"/>
      <c r="E62" s="1013"/>
      <c r="F62" s="1013"/>
      <c r="G62" s="1013"/>
      <c r="H62" s="1013"/>
      <c r="I62" s="1013"/>
      <c r="J62" s="1013"/>
      <c r="K62" s="1013"/>
      <c r="L62" s="1013"/>
      <c r="M62" s="1013"/>
      <c r="N62" s="1013"/>
      <c r="O62" s="1013"/>
      <c r="P62" s="1013"/>
    </row>
    <row r="63" spans="1:16" ht="16.5" customHeight="1">
      <c r="A63" s="1014" t="s">
        <v>497</v>
      </c>
      <c r="B63" s="1014"/>
      <c r="C63" s="1014"/>
      <c r="D63" s="1014"/>
      <c r="E63" s="1014"/>
      <c r="F63" s="1014"/>
      <c r="G63" s="1014"/>
      <c r="H63" s="1014"/>
      <c r="I63" s="1014"/>
      <c r="J63" s="1014"/>
      <c r="K63" s="1014"/>
      <c r="L63" s="1014"/>
      <c r="M63" s="1014"/>
      <c r="N63" s="1014"/>
      <c r="O63" s="1014"/>
      <c r="P63" s="1014"/>
    </row>
    <row r="64" spans="1:16" ht="6.75" customHeight="1">
      <c r="A64" s="1015"/>
      <c r="B64" s="1015"/>
      <c r="C64" s="1015"/>
      <c r="D64" s="1015"/>
      <c r="E64" s="1015"/>
      <c r="F64" s="1015"/>
      <c r="G64" s="1015"/>
      <c r="H64" s="1015"/>
      <c r="I64" s="1015"/>
      <c r="J64" s="1015"/>
      <c r="K64" s="1015"/>
      <c r="L64" s="1015"/>
      <c r="M64" s="1015"/>
      <c r="N64" s="1015"/>
      <c r="O64" s="1015"/>
      <c r="P64" s="1015"/>
    </row>
    <row r="65" spans="1:16" ht="12.75">
      <c r="A65" s="1014" t="s">
        <v>498</v>
      </c>
      <c r="B65" s="1014"/>
      <c r="C65" s="1014"/>
      <c r="D65" s="1014"/>
      <c r="E65" s="1014"/>
      <c r="F65" s="1014"/>
      <c r="G65" s="1014"/>
      <c r="H65" s="1014"/>
      <c r="I65" s="1014"/>
      <c r="J65" s="1014"/>
      <c r="K65" s="1014"/>
      <c r="L65" s="1014"/>
      <c r="M65" s="1014"/>
      <c r="N65" s="1014"/>
      <c r="O65" s="1014"/>
      <c r="P65" s="1014"/>
    </row>
  </sheetData>
  <sheetProtection/>
  <mergeCells count="84">
    <mergeCell ref="B48:D48"/>
    <mergeCell ref="B50:D50"/>
    <mergeCell ref="B52:D52"/>
    <mergeCell ref="B43:D43"/>
    <mergeCell ref="B44:D44"/>
    <mergeCell ref="B38:D38"/>
    <mergeCell ref="B39:D39"/>
    <mergeCell ref="D5:N5"/>
    <mergeCell ref="A6:D6"/>
    <mergeCell ref="B41:D41"/>
    <mergeCell ref="B42:D42"/>
    <mergeCell ref="B37:D37"/>
    <mergeCell ref="B40:D40"/>
    <mergeCell ref="B15:D15"/>
    <mergeCell ref="B16:D16"/>
    <mergeCell ref="B36:D36"/>
    <mergeCell ref="O7:P8"/>
    <mergeCell ref="M8:N8"/>
    <mergeCell ref="B10:D10"/>
    <mergeCell ref="B11:D11"/>
    <mergeCell ref="B12:D12"/>
    <mergeCell ref="A60:D61"/>
    <mergeCell ref="B51:D51"/>
    <mergeCell ref="B53:D53"/>
    <mergeCell ref="B45:D45"/>
    <mergeCell ref="B46:D46"/>
    <mergeCell ref="B24:D24"/>
    <mergeCell ref="B25:D25"/>
    <mergeCell ref="B26:D26"/>
    <mergeCell ref="B27:D27"/>
    <mergeCell ref="N58:P58"/>
    <mergeCell ref="B17:D17"/>
    <mergeCell ref="B35:D35"/>
    <mergeCell ref="B22:D22"/>
    <mergeCell ref="B23:D23"/>
    <mergeCell ref="B47:D47"/>
    <mergeCell ref="A64:P64"/>
    <mergeCell ref="A65:P65"/>
    <mergeCell ref="B54:D54"/>
    <mergeCell ref="A55:D55"/>
    <mergeCell ref="A56:D56"/>
    <mergeCell ref="A58:D59"/>
    <mergeCell ref="E58:L58"/>
    <mergeCell ref="E59:L59"/>
    <mergeCell ref="B13:D13"/>
    <mergeCell ref="B14:D14"/>
    <mergeCell ref="A7:A9"/>
    <mergeCell ref="B7:D9"/>
    <mergeCell ref="A62:P62"/>
    <mergeCell ref="A63:P63"/>
    <mergeCell ref="B49:D49"/>
    <mergeCell ref="B34:D34"/>
    <mergeCell ref="B32:D32"/>
    <mergeCell ref="B21:D21"/>
    <mergeCell ref="G8:H8"/>
    <mergeCell ref="I8:J8"/>
    <mergeCell ref="K8:L8"/>
    <mergeCell ref="O1:P2"/>
    <mergeCell ref="B28:D28"/>
    <mergeCell ref="B33:D33"/>
    <mergeCell ref="B29:D29"/>
    <mergeCell ref="B30:D30"/>
    <mergeCell ref="B31:D31"/>
    <mergeCell ref="O6:P6"/>
    <mergeCell ref="S1:X1"/>
    <mergeCell ref="Y1:Y2"/>
    <mergeCell ref="A2:N2"/>
    <mergeCell ref="S2:X2"/>
    <mergeCell ref="O3:P4"/>
    <mergeCell ref="S3:X3"/>
    <mergeCell ref="A3:C3"/>
    <mergeCell ref="D3:N3"/>
    <mergeCell ref="A4:C4"/>
    <mergeCell ref="D4:N4"/>
    <mergeCell ref="E60:L60"/>
    <mergeCell ref="E61:L61"/>
    <mergeCell ref="A1:N1"/>
    <mergeCell ref="A5:C5"/>
    <mergeCell ref="B20:D20"/>
    <mergeCell ref="B18:D18"/>
    <mergeCell ref="B19:D19"/>
    <mergeCell ref="E6:N6"/>
    <mergeCell ref="E7:N7"/>
    <mergeCell ref="E8:F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view="pageBreakPreview" zoomScale="85" zoomScaleNormal="75" zoomScaleSheetLayoutView="85" zoomScalePageLayoutView="0" workbookViewId="0" topLeftCell="A1">
      <selection activeCell="H14" sqref="H14"/>
    </sheetView>
  </sheetViews>
  <sheetFormatPr defaultColWidth="9.140625" defaultRowHeight="12.75"/>
  <cols>
    <col min="1" max="1" width="10.7109375" style="0" customWidth="1"/>
    <col min="2" max="2" width="51.57421875" style="0" customWidth="1"/>
    <col min="3" max="3" width="6.28125" style="169" customWidth="1"/>
    <col min="4" max="4" width="9.7109375" style="169" customWidth="1"/>
    <col min="5" max="5" width="10.57421875" style="169" customWidth="1"/>
    <col min="6" max="6" width="20.140625" style="169" bestFit="1" customWidth="1"/>
    <col min="7" max="8" width="9.7109375" style="169" customWidth="1"/>
    <col min="9" max="9" width="19.57421875" style="169" customWidth="1"/>
    <col min="10" max="11" width="10.00390625" style="169" customWidth="1"/>
    <col min="12" max="12" width="16.28125" style="169" customWidth="1"/>
    <col min="13" max="13" width="13.7109375" style="120" customWidth="1"/>
    <col min="14" max="14" width="12.57421875" style="120" customWidth="1"/>
    <col min="15" max="15" width="21.28125" style="120" customWidth="1"/>
    <col min="16" max="16384" width="9.140625" style="120" customWidth="1"/>
  </cols>
  <sheetData>
    <row r="1" spans="1:17" ht="36" customHeight="1">
      <c r="A1" s="1041"/>
      <c r="B1" s="1042"/>
      <c r="C1" s="1045" t="s">
        <v>465</v>
      </c>
      <c r="D1" s="1045"/>
      <c r="E1" s="1045"/>
      <c r="F1" s="1046" t="str">
        <f>'dados de entrada'!B4</f>
        <v>BOMBINHAS</v>
      </c>
      <c r="G1" s="1047"/>
      <c r="H1" s="1047"/>
      <c r="I1" s="1047"/>
      <c r="J1" s="1047"/>
      <c r="K1" s="1047"/>
      <c r="L1" s="1048"/>
      <c r="M1" s="1049" t="s">
        <v>499</v>
      </c>
      <c r="N1" s="1051"/>
      <c r="O1" s="998" t="s">
        <v>500</v>
      </c>
      <c r="Q1" s="448"/>
    </row>
    <row r="2" spans="1:17" ht="26.25" customHeight="1">
      <c r="A2" s="1043"/>
      <c r="B2" s="1044"/>
      <c r="C2" s="1054" t="s">
        <v>17</v>
      </c>
      <c r="D2" s="1054"/>
      <c r="E2" s="1054"/>
      <c r="F2" s="1055" t="str">
        <f>'dados de entrada'!B8</f>
        <v>PAVIMENTAÇÃO COM LAJOTAS SEXTAVADAS E DRENAGEM PLUVIAL </v>
      </c>
      <c r="G2" s="1056"/>
      <c r="H2" s="1056"/>
      <c r="I2" s="1056"/>
      <c r="J2" s="1056"/>
      <c r="K2" s="1056"/>
      <c r="L2" s="1057"/>
      <c r="M2" s="1050"/>
      <c r="N2" s="1052"/>
      <c r="O2" s="1000"/>
      <c r="P2" s="448"/>
      <c r="Q2" s="448"/>
    </row>
    <row r="3" spans="1:17" ht="29.25" customHeight="1">
      <c r="A3" s="1058" t="s">
        <v>501</v>
      </c>
      <c r="B3" s="1059"/>
      <c r="C3" s="1060" t="s">
        <v>502</v>
      </c>
      <c r="D3" s="1060"/>
      <c r="E3" s="1060"/>
      <c r="F3" s="1061"/>
      <c r="G3" s="1061"/>
      <c r="H3" s="1061"/>
      <c r="I3" s="1061"/>
      <c r="J3" s="1061"/>
      <c r="K3" s="1061"/>
      <c r="L3" s="1061"/>
      <c r="M3" s="1050"/>
      <c r="N3" s="1053"/>
      <c r="O3" s="1000"/>
      <c r="P3" s="448"/>
      <c r="Q3" s="448"/>
    </row>
    <row r="4" spans="1:17" ht="19.5" customHeight="1">
      <c r="A4" s="1062" t="s">
        <v>478</v>
      </c>
      <c r="B4" s="1063"/>
      <c r="C4" s="1063"/>
      <c r="D4" s="1063"/>
      <c r="E4" s="1063"/>
      <c r="F4" s="1063"/>
      <c r="G4" s="1064" t="s">
        <v>503</v>
      </c>
      <c r="H4" s="1065"/>
      <c r="I4" s="1068"/>
      <c r="J4" s="1070" t="s">
        <v>504</v>
      </c>
      <c r="K4" s="1072"/>
      <c r="L4" s="1074" t="s">
        <v>505</v>
      </c>
      <c r="M4" s="1075"/>
      <c r="N4" s="1077" t="s">
        <v>506</v>
      </c>
      <c r="O4" s="1079"/>
      <c r="P4" s="456"/>
      <c r="Q4" s="457"/>
    </row>
    <row r="5" spans="1:17" ht="20.25" customHeight="1">
      <c r="A5" s="1081" t="s">
        <v>507</v>
      </c>
      <c r="B5" s="1082"/>
      <c r="C5" s="1082"/>
      <c r="D5" s="1082"/>
      <c r="E5" s="1082"/>
      <c r="F5" s="1083"/>
      <c r="G5" s="1066"/>
      <c r="H5" s="1067"/>
      <c r="I5" s="1069"/>
      <c r="J5" s="1071"/>
      <c r="K5" s="1073"/>
      <c r="L5" s="1074"/>
      <c r="M5" s="1076"/>
      <c r="N5" s="1078"/>
      <c r="O5" s="1080"/>
      <c r="P5" s="458"/>
      <c r="Q5" s="458"/>
    </row>
    <row r="6" spans="1:15" ht="20.25" customHeight="1">
      <c r="A6" s="1081" t="s">
        <v>508</v>
      </c>
      <c r="B6" s="1082"/>
      <c r="C6" s="1082"/>
      <c r="D6" s="1082"/>
      <c r="E6" s="1082"/>
      <c r="F6" s="1083"/>
      <c r="G6" s="1084" t="s">
        <v>509</v>
      </c>
      <c r="H6" s="1085"/>
      <c r="I6" s="1086"/>
      <c r="J6" s="1085" t="s">
        <v>510</v>
      </c>
      <c r="K6" s="1085"/>
      <c r="L6" s="1085"/>
      <c r="M6" s="459" t="s">
        <v>7</v>
      </c>
      <c r="N6" s="1087" t="s">
        <v>511</v>
      </c>
      <c r="O6" s="1088"/>
    </row>
    <row r="7" spans="1:15" ht="21" customHeight="1">
      <c r="A7" s="1081"/>
      <c r="B7" s="1082"/>
      <c r="C7" s="1082"/>
      <c r="D7" s="1082"/>
      <c r="E7" s="1082"/>
      <c r="F7" s="1083"/>
      <c r="G7" s="1089" t="s">
        <v>512</v>
      </c>
      <c r="H7" s="1090"/>
      <c r="I7" s="1091"/>
      <c r="J7" s="1092">
        <f>J9*$M$7</f>
        <v>0</v>
      </c>
      <c r="K7" s="1092"/>
      <c r="L7" s="1092"/>
      <c r="M7" s="460"/>
      <c r="N7" s="1093">
        <f>N9*M7</f>
        <v>0</v>
      </c>
      <c r="O7" s="1094"/>
    </row>
    <row r="8" spans="1:15" ht="20.25" customHeight="1">
      <c r="A8" s="1081" t="s">
        <v>513</v>
      </c>
      <c r="B8" s="1082"/>
      <c r="C8" s="1082"/>
      <c r="D8" s="1082"/>
      <c r="E8" s="1082"/>
      <c r="F8" s="1083"/>
      <c r="G8" s="1089" t="s">
        <v>514</v>
      </c>
      <c r="H8" s="1090"/>
      <c r="I8" s="1091"/>
      <c r="J8" s="1092">
        <f>J9*$M$8</f>
        <v>0</v>
      </c>
      <c r="K8" s="1092"/>
      <c r="L8" s="1092"/>
      <c r="M8" s="460"/>
      <c r="N8" s="1093">
        <f>N9*$M$8</f>
        <v>0</v>
      </c>
      <c r="O8" s="1094"/>
    </row>
    <row r="9" spans="1:15" ht="21" customHeight="1">
      <c r="A9" s="1095"/>
      <c r="B9" s="1096"/>
      <c r="C9" s="1096"/>
      <c r="D9" s="1096"/>
      <c r="E9" s="1096"/>
      <c r="F9" s="1097"/>
      <c r="G9" s="1089" t="s">
        <v>515</v>
      </c>
      <c r="H9" s="1090"/>
      <c r="I9" s="1091"/>
      <c r="J9" s="1092">
        <f>$F$44</f>
        <v>0</v>
      </c>
      <c r="K9" s="1092"/>
      <c r="L9" s="1092"/>
      <c r="M9" s="461">
        <f>M7+M8</f>
        <v>0</v>
      </c>
      <c r="N9" s="1093">
        <f>$I$44</f>
        <v>0</v>
      </c>
      <c r="O9" s="1094"/>
    </row>
    <row r="10" spans="1:15" ht="12.75" customHeight="1" thickBot="1">
      <c r="A10" s="1098" t="s">
        <v>516</v>
      </c>
      <c r="B10" s="1101" t="s">
        <v>517</v>
      </c>
      <c r="C10" s="1104" t="s">
        <v>518</v>
      </c>
      <c r="D10" s="1105"/>
      <c r="E10" s="1105"/>
      <c r="F10" s="1106"/>
      <c r="G10" s="1110" t="s">
        <v>519</v>
      </c>
      <c r="H10" s="1110"/>
      <c r="I10" s="1110"/>
      <c r="J10" s="1110"/>
      <c r="K10" s="1110"/>
      <c r="L10" s="1110"/>
      <c r="M10" s="1110"/>
      <c r="N10" s="1110"/>
      <c r="O10" s="1111"/>
    </row>
    <row r="11" spans="1:15" ht="35.25" customHeight="1" thickBot="1" thickTop="1">
      <c r="A11" s="1099"/>
      <c r="B11" s="1102"/>
      <c r="C11" s="1107"/>
      <c r="D11" s="1108"/>
      <c r="E11" s="1108"/>
      <c r="F11" s="1109"/>
      <c r="G11" s="1110" t="s">
        <v>520</v>
      </c>
      <c r="H11" s="1110"/>
      <c r="I11" s="1112"/>
      <c r="J11" s="1113" t="s">
        <v>521</v>
      </c>
      <c r="K11" s="1114"/>
      <c r="L11" s="1114"/>
      <c r="M11" s="1110" t="s">
        <v>522</v>
      </c>
      <c r="N11" s="1110"/>
      <c r="O11" s="1111"/>
    </row>
    <row r="12" spans="1:15" ht="23.25" thickTop="1">
      <c r="A12" s="1100"/>
      <c r="B12" s="1103"/>
      <c r="C12" s="462" t="s">
        <v>32</v>
      </c>
      <c r="D12" s="462" t="s">
        <v>148</v>
      </c>
      <c r="E12" s="462" t="s">
        <v>523</v>
      </c>
      <c r="F12" s="462" t="s">
        <v>524</v>
      </c>
      <c r="G12" s="462" t="s">
        <v>148</v>
      </c>
      <c r="H12" s="464" t="s">
        <v>7</v>
      </c>
      <c r="I12" s="462" t="s">
        <v>524</v>
      </c>
      <c r="J12" s="462" t="s">
        <v>148</v>
      </c>
      <c r="K12" s="464" t="s">
        <v>7</v>
      </c>
      <c r="L12" s="462" t="s">
        <v>524</v>
      </c>
      <c r="M12" s="462" t="s">
        <v>148</v>
      </c>
      <c r="N12" s="462" t="s">
        <v>7</v>
      </c>
      <c r="O12" s="463" t="s">
        <v>524</v>
      </c>
    </row>
    <row r="13" spans="1:15" ht="12.75">
      <c r="A13" s="465">
        <v>1</v>
      </c>
      <c r="B13" s="466" t="s">
        <v>525</v>
      </c>
      <c r="C13" s="1115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6"/>
    </row>
    <row r="14" spans="1:15" ht="14.25" customHeight="1">
      <c r="A14" s="467"/>
      <c r="B14" s="468"/>
      <c r="C14" s="469"/>
      <c r="D14" s="470"/>
      <c r="E14" s="471"/>
      <c r="F14" s="472">
        <f>ROUND($D14*$E14,2)</f>
        <v>0</v>
      </c>
      <c r="G14" s="473"/>
      <c r="H14" s="474" t="e">
        <f>G14/D14</f>
        <v>#DIV/0!</v>
      </c>
      <c r="I14" s="475">
        <f>ROUND($G14*$E14,2)</f>
        <v>0</v>
      </c>
      <c r="J14" s="476"/>
      <c r="K14" s="477" t="e">
        <f aca="true" t="shared" si="0" ref="K14:K27">J14/D14</f>
        <v>#DIV/0!</v>
      </c>
      <c r="L14" s="478">
        <f>J14*$E14</f>
        <v>0</v>
      </c>
      <c r="M14" s="479">
        <f>J14+G14</f>
        <v>0</v>
      </c>
      <c r="N14" s="480" t="e">
        <f>H14+K14</f>
        <v>#DIV/0!</v>
      </c>
      <c r="O14" s="481">
        <f aca="true" t="shared" si="1" ref="O14:O42">ROUND($M14*$E14,2)</f>
        <v>0</v>
      </c>
    </row>
    <row r="15" spans="1:15" ht="14.25" customHeight="1">
      <c r="A15" s="467"/>
      <c r="B15" s="468"/>
      <c r="C15" s="469"/>
      <c r="D15" s="470"/>
      <c r="E15" s="471"/>
      <c r="F15" s="472">
        <f>ROUND($D15*$E15,2)</f>
        <v>0</v>
      </c>
      <c r="G15" s="482"/>
      <c r="H15" s="474" t="e">
        <f aca="true" t="shared" si="2" ref="H15:H37">G15/D15</f>
        <v>#DIV/0!</v>
      </c>
      <c r="I15" s="475">
        <f aca="true" t="shared" si="3" ref="I15:I42">ROUND($G15*$E15,2)</f>
        <v>0</v>
      </c>
      <c r="J15" s="476"/>
      <c r="K15" s="477" t="e">
        <f t="shared" si="0"/>
        <v>#DIV/0!</v>
      </c>
      <c r="L15" s="478">
        <f aca="true" t="shared" si="4" ref="L15:L37">J15*$E15</f>
        <v>0</v>
      </c>
      <c r="M15" s="479">
        <f aca="true" t="shared" si="5" ref="M15:M37">J15+G15</f>
        <v>0</v>
      </c>
      <c r="N15" s="480" t="e">
        <f aca="true" t="shared" si="6" ref="N15:N37">H15+K15</f>
        <v>#DIV/0!</v>
      </c>
      <c r="O15" s="481">
        <f t="shared" si="1"/>
        <v>0</v>
      </c>
    </row>
    <row r="16" spans="1:15" ht="14.25" customHeight="1">
      <c r="A16" s="467"/>
      <c r="B16" s="468"/>
      <c r="C16" s="469"/>
      <c r="D16" s="470"/>
      <c r="E16" s="471"/>
      <c r="F16" s="472">
        <f aca="true" t="shared" si="7" ref="F16:F37">ROUND($D16*$E16,2)</f>
        <v>0</v>
      </c>
      <c r="G16" s="483"/>
      <c r="H16" s="474" t="e">
        <f t="shared" si="2"/>
        <v>#DIV/0!</v>
      </c>
      <c r="I16" s="475">
        <f t="shared" si="3"/>
        <v>0</v>
      </c>
      <c r="J16" s="484"/>
      <c r="K16" s="477" t="e">
        <f t="shared" si="0"/>
        <v>#DIV/0!</v>
      </c>
      <c r="L16" s="478">
        <f t="shared" si="4"/>
        <v>0</v>
      </c>
      <c r="M16" s="479">
        <f t="shared" si="5"/>
        <v>0</v>
      </c>
      <c r="N16" s="480" t="e">
        <f t="shared" si="6"/>
        <v>#DIV/0!</v>
      </c>
      <c r="O16" s="481">
        <f t="shared" si="1"/>
        <v>0</v>
      </c>
    </row>
    <row r="17" spans="1:15" ht="14.25" customHeight="1">
      <c r="A17" s="467"/>
      <c r="B17" s="468"/>
      <c r="C17" s="469"/>
      <c r="D17" s="470"/>
      <c r="E17" s="471"/>
      <c r="F17" s="472">
        <f t="shared" si="7"/>
        <v>0</v>
      </c>
      <c r="G17" s="482"/>
      <c r="H17" s="474" t="e">
        <f t="shared" si="2"/>
        <v>#DIV/0!</v>
      </c>
      <c r="I17" s="475">
        <f t="shared" si="3"/>
        <v>0</v>
      </c>
      <c r="J17" s="476"/>
      <c r="K17" s="477" t="e">
        <f t="shared" si="0"/>
        <v>#DIV/0!</v>
      </c>
      <c r="L17" s="478">
        <f t="shared" si="4"/>
        <v>0</v>
      </c>
      <c r="M17" s="479">
        <f t="shared" si="5"/>
        <v>0</v>
      </c>
      <c r="N17" s="480" t="e">
        <f t="shared" si="6"/>
        <v>#DIV/0!</v>
      </c>
      <c r="O17" s="481">
        <f t="shared" si="1"/>
        <v>0</v>
      </c>
    </row>
    <row r="18" spans="1:15" ht="14.25" customHeight="1">
      <c r="A18" s="467"/>
      <c r="B18" s="468"/>
      <c r="C18" s="469"/>
      <c r="D18" s="470"/>
      <c r="E18" s="471"/>
      <c r="F18" s="472">
        <f t="shared" si="7"/>
        <v>0</v>
      </c>
      <c r="G18" s="482"/>
      <c r="H18" s="474" t="e">
        <f t="shared" si="2"/>
        <v>#DIV/0!</v>
      </c>
      <c r="I18" s="475">
        <f t="shared" si="3"/>
        <v>0</v>
      </c>
      <c r="J18" s="476"/>
      <c r="K18" s="477" t="e">
        <f t="shared" si="0"/>
        <v>#DIV/0!</v>
      </c>
      <c r="L18" s="478">
        <f t="shared" si="4"/>
        <v>0</v>
      </c>
      <c r="M18" s="479">
        <f t="shared" si="5"/>
        <v>0</v>
      </c>
      <c r="N18" s="480" t="e">
        <f t="shared" si="6"/>
        <v>#DIV/0!</v>
      </c>
      <c r="O18" s="481">
        <f t="shared" si="1"/>
        <v>0</v>
      </c>
    </row>
    <row r="19" spans="1:15" ht="14.25" customHeight="1">
      <c r="A19" s="467"/>
      <c r="B19" s="468"/>
      <c r="C19" s="469"/>
      <c r="D19" s="470"/>
      <c r="E19" s="471"/>
      <c r="F19" s="472">
        <f t="shared" si="7"/>
        <v>0</v>
      </c>
      <c r="G19" s="482"/>
      <c r="H19" s="474" t="e">
        <f t="shared" si="2"/>
        <v>#DIV/0!</v>
      </c>
      <c r="I19" s="475">
        <f t="shared" si="3"/>
        <v>0</v>
      </c>
      <c r="J19" s="476"/>
      <c r="K19" s="477" t="e">
        <f t="shared" si="0"/>
        <v>#DIV/0!</v>
      </c>
      <c r="L19" s="478">
        <f t="shared" si="4"/>
        <v>0</v>
      </c>
      <c r="M19" s="479">
        <f t="shared" si="5"/>
        <v>0</v>
      </c>
      <c r="N19" s="480" t="e">
        <f t="shared" si="6"/>
        <v>#DIV/0!</v>
      </c>
      <c r="O19" s="481">
        <f t="shared" si="1"/>
        <v>0</v>
      </c>
    </row>
    <row r="20" spans="1:15" ht="14.25" customHeight="1">
      <c r="A20" s="467"/>
      <c r="B20" s="468"/>
      <c r="C20" s="469"/>
      <c r="D20" s="470"/>
      <c r="E20" s="471"/>
      <c r="F20" s="472">
        <f t="shared" si="7"/>
        <v>0</v>
      </c>
      <c r="G20" s="482"/>
      <c r="H20" s="474" t="e">
        <f t="shared" si="2"/>
        <v>#DIV/0!</v>
      </c>
      <c r="I20" s="475">
        <f t="shared" si="3"/>
        <v>0</v>
      </c>
      <c r="J20" s="476"/>
      <c r="K20" s="477" t="e">
        <f t="shared" si="0"/>
        <v>#DIV/0!</v>
      </c>
      <c r="L20" s="478">
        <f t="shared" si="4"/>
        <v>0</v>
      </c>
      <c r="M20" s="479">
        <f t="shared" si="5"/>
        <v>0</v>
      </c>
      <c r="N20" s="480" t="e">
        <f t="shared" si="6"/>
        <v>#DIV/0!</v>
      </c>
      <c r="O20" s="481">
        <f t="shared" si="1"/>
        <v>0</v>
      </c>
    </row>
    <row r="21" spans="1:15" ht="14.25" customHeight="1">
      <c r="A21" s="467"/>
      <c r="B21" s="468"/>
      <c r="C21" s="469"/>
      <c r="D21" s="470"/>
      <c r="E21" s="471"/>
      <c r="F21" s="472">
        <f t="shared" si="7"/>
        <v>0</v>
      </c>
      <c r="G21" s="482"/>
      <c r="H21" s="474" t="e">
        <f t="shared" si="2"/>
        <v>#DIV/0!</v>
      </c>
      <c r="I21" s="475">
        <f t="shared" si="3"/>
        <v>0</v>
      </c>
      <c r="J21" s="476"/>
      <c r="K21" s="477" t="e">
        <f t="shared" si="0"/>
        <v>#DIV/0!</v>
      </c>
      <c r="L21" s="478">
        <f t="shared" si="4"/>
        <v>0</v>
      </c>
      <c r="M21" s="479">
        <f t="shared" si="5"/>
        <v>0</v>
      </c>
      <c r="N21" s="480" t="e">
        <f t="shared" si="6"/>
        <v>#DIV/0!</v>
      </c>
      <c r="O21" s="481">
        <f t="shared" si="1"/>
        <v>0</v>
      </c>
    </row>
    <row r="22" spans="1:15" ht="14.25" customHeight="1">
      <c r="A22" s="467"/>
      <c r="B22" s="468"/>
      <c r="C22" s="469"/>
      <c r="D22" s="470"/>
      <c r="E22" s="471"/>
      <c r="F22" s="472">
        <f t="shared" si="7"/>
        <v>0</v>
      </c>
      <c r="G22" s="482"/>
      <c r="H22" s="474" t="e">
        <f t="shared" si="2"/>
        <v>#DIV/0!</v>
      </c>
      <c r="I22" s="475">
        <f t="shared" si="3"/>
        <v>0</v>
      </c>
      <c r="J22" s="476"/>
      <c r="K22" s="477" t="e">
        <f t="shared" si="0"/>
        <v>#DIV/0!</v>
      </c>
      <c r="L22" s="478">
        <f t="shared" si="4"/>
        <v>0</v>
      </c>
      <c r="M22" s="479">
        <f t="shared" si="5"/>
        <v>0</v>
      </c>
      <c r="N22" s="480" t="e">
        <f t="shared" si="6"/>
        <v>#DIV/0!</v>
      </c>
      <c r="O22" s="481">
        <f t="shared" si="1"/>
        <v>0</v>
      </c>
    </row>
    <row r="23" spans="1:15" ht="14.25" customHeight="1">
      <c r="A23" s="467"/>
      <c r="B23" s="468"/>
      <c r="C23" s="469"/>
      <c r="D23" s="470"/>
      <c r="E23" s="471"/>
      <c r="F23" s="472">
        <f t="shared" si="7"/>
        <v>0</v>
      </c>
      <c r="G23" s="482"/>
      <c r="H23" s="474" t="e">
        <f t="shared" si="2"/>
        <v>#DIV/0!</v>
      </c>
      <c r="I23" s="475">
        <f t="shared" si="3"/>
        <v>0</v>
      </c>
      <c r="J23" s="476"/>
      <c r="K23" s="477" t="e">
        <f t="shared" si="0"/>
        <v>#DIV/0!</v>
      </c>
      <c r="L23" s="478">
        <f t="shared" si="4"/>
        <v>0</v>
      </c>
      <c r="M23" s="479">
        <f t="shared" si="5"/>
        <v>0</v>
      </c>
      <c r="N23" s="480" t="e">
        <f t="shared" si="6"/>
        <v>#DIV/0!</v>
      </c>
      <c r="O23" s="481">
        <f t="shared" si="1"/>
        <v>0</v>
      </c>
    </row>
    <row r="24" spans="1:15" ht="14.25" customHeight="1">
      <c r="A24" s="467"/>
      <c r="B24" s="468"/>
      <c r="C24" s="469"/>
      <c r="D24" s="470"/>
      <c r="E24" s="471"/>
      <c r="F24" s="472">
        <f t="shared" si="7"/>
        <v>0</v>
      </c>
      <c r="G24" s="482"/>
      <c r="H24" s="474" t="e">
        <f t="shared" si="2"/>
        <v>#DIV/0!</v>
      </c>
      <c r="I24" s="475">
        <f t="shared" si="3"/>
        <v>0</v>
      </c>
      <c r="J24" s="476"/>
      <c r="K24" s="477" t="e">
        <f t="shared" si="0"/>
        <v>#DIV/0!</v>
      </c>
      <c r="L24" s="478">
        <f t="shared" si="4"/>
        <v>0</v>
      </c>
      <c r="M24" s="479">
        <f t="shared" si="5"/>
        <v>0</v>
      </c>
      <c r="N24" s="480" t="e">
        <f t="shared" si="6"/>
        <v>#DIV/0!</v>
      </c>
      <c r="O24" s="481">
        <f t="shared" si="1"/>
        <v>0</v>
      </c>
    </row>
    <row r="25" spans="1:15" ht="14.25" customHeight="1">
      <c r="A25" s="467"/>
      <c r="B25" s="468"/>
      <c r="C25" s="469"/>
      <c r="D25" s="470"/>
      <c r="E25" s="471"/>
      <c r="F25" s="472">
        <f t="shared" si="7"/>
        <v>0</v>
      </c>
      <c r="G25" s="482"/>
      <c r="H25" s="474" t="e">
        <f t="shared" si="2"/>
        <v>#DIV/0!</v>
      </c>
      <c r="I25" s="475">
        <f t="shared" si="3"/>
        <v>0</v>
      </c>
      <c r="J25" s="476"/>
      <c r="K25" s="477" t="e">
        <f t="shared" si="0"/>
        <v>#DIV/0!</v>
      </c>
      <c r="L25" s="478">
        <f t="shared" si="4"/>
        <v>0</v>
      </c>
      <c r="M25" s="479">
        <f t="shared" si="5"/>
        <v>0</v>
      </c>
      <c r="N25" s="480" t="e">
        <f t="shared" si="6"/>
        <v>#DIV/0!</v>
      </c>
      <c r="O25" s="481">
        <f t="shared" si="1"/>
        <v>0</v>
      </c>
    </row>
    <row r="26" spans="1:15" ht="14.25" customHeight="1">
      <c r="A26" s="467"/>
      <c r="B26" s="468"/>
      <c r="C26" s="469"/>
      <c r="D26" s="470"/>
      <c r="E26" s="471"/>
      <c r="F26" s="472">
        <f t="shared" si="7"/>
        <v>0</v>
      </c>
      <c r="G26" s="483"/>
      <c r="H26" s="474" t="e">
        <f t="shared" si="2"/>
        <v>#DIV/0!</v>
      </c>
      <c r="I26" s="475">
        <f t="shared" si="3"/>
        <v>0</v>
      </c>
      <c r="J26" s="484"/>
      <c r="K26" s="477" t="e">
        <f t="shared" si="0"/>
        <v>#DIV/0!</v>
      </c>
      <c r="L26" s="478">
        <f t="shared" si="4"/>
        <v>0</v>
      </c>
      <c r="M26" s="479">
        <f t="shared" si="5"/>
        <v>0</v>
      </c>
      <c r="N26" s="480" t="e">
        <f t="shared" si="6"/>
        <v>#DIV/0!</v>
      </c>
      <c r="O26" s="481">
        <f t="shared" si="1"/>
        <v>0</v>
      </c>
    </row>
    <row r="27" spans="1:15" ht="14.25" customHeight="1">
      <c r="A27" s="467"/>
      <c r="B27" s="468"/>
      <c r="C27" s="469"/>
      <c r="D27" s="470"/>
      <c r="E27" s="471"/>
      <c r="F27" s="472">
        <f t="shared" si="7"/>
        <v>0</v>
      </c>
      <c r="G27" s="482"/>
      <c r="H27" s="474" t="e">
        <f t="shared" si="2"/>
        <v>#DIV/0!</v>
      </c>
      <c r="I27" s="475">
        <f t="shared" si="3"/>
        <v>0</v>
      </c>
      <c r="J27" s="476"/>
      <c r="K27" s="477" t="e">
        <f t="shared" si="0"/>
        <v>#DIV/0!</v>
      </c>
      <c r="L27" s="478">
        <f t="shared" si="4"/>
        <v>0</v>
      </c>
      <c r="M27" s="479">
        <f t="shared" si="5"/>
        <v>0</v>
      </c>
      <c r="N27" s="480" t="e">
        <f t="shared" si="6"/>
        <v>#DIV/0!</v>
      </c>
      <c r="O27" s="481">
        <f t="shared" si="1"/>
        <v>0</v>
      </c>
    </row>
    <row r="28" spans="1:15" ht="14.25" customHeight="1">
      <c r="A28" s="467"/>
      <c r="B28" s="468"/>
      <c r="C28" s="469"/>
      <c r="D28" s="470"/>
      <c r="E28" s="471"/>
      <c r="F28" s="472">
        <f t="shared" si="7"/>
        <v>0</v>
      </c>
      <c r="G28" s="482"/>
      <c r="H28" s="474" t="e">
        <f t="shared" si="2"/>
        <v>#DIV/0!</v>
      </c>
      <c r="I28" s="475">
        <f t="shared" si="3"/>
        <v>0</v>
      </c>
      <c r="J28" s="476"/>
      <c r="K28" s="477" t="e">
        <f>J28/D28</f>
        <v>#DIV/0!</v>
      </c>
      <c r="L28" s="478">
        <f t="shared" si="4"/>
        <v>0</v>
      </c>
      <c r="M28" s="479">
        <f t="shared" si="5"/>
        <v>0</v>
      </c>
      <c r="N28" s="480" t="e">
        <f t="shared" si="6"/>
        <v>#DIV/0!</v>
      </c>
      <c r="O28" s="481">
        <f t="shared" si="1"/>
        <v>0</v>
      </c>
    </row>
    <row r="29" spans="1:15" ht="14.25" customHeight="1">
      <c r="A29" s="467"/>
      <c r="B29" s="468"/>
      <c r="C29" s="469"/>
      <c r="D29" s="470"/>
      <c r="E29" s="471"/>
      <c r="F29" s="472">
        <f t="shared" si="7"/>
        <v>0</v>
      </c>
      <c r="G29" s="482"/>
      <c r="H29" s="474" t="e">
        <f t="shared" si="2"/>
        <v>#DIV/0!</v>
      </c>
      <c r="I29" s="475">
        <f t="shared" si="3"/>
        <v>0</v>
      </c>
      <c r="J29" s="476"/>
      <c r="K29" s="477" t="e">
        <f>J29/D29</f>
        <v>#DIV/0!</v>
      </c>
      <c r="L29" s="478">
        <f t="shared" si="4"/>
        <v>0</v>
      </c>
      <c r="M29" s="479">
        <f t="shared" si="5"/>
        <v>0</v>
      </c>
      <c r="N29" s="480" t="e">
        <f t="shared" si="6"/>
        <v>#DIV/0!</v>
      </c>
      <c r="O29" s="481">
        <f t="shared" si="1"/>
        <v>0</v>
      </c>
    </row>
    <row r="30" spans="1:15" ht="14.25" customHeight="1">
      <c r="A30" s="467"/>
      <c r="B30" s="468"/>
      <c r="C30" s="469"/>
      <c r="D30" s="470"/>
      <c r="E30" s="471"/>
      <c r="F30" s="472">
        <f t="shared" si="7"/>
        <v>0</v>
      </c>
      <c r="G30" s="482"/>
      <c r="H30" s="474" t="e">
        <f t="shared" si="2"/>
        <v>#DIV/0!</v>
      </c>
      <c r="I30" s="475">
        <f t="shared" si="3"/>
        <v>0</v>
      </c>
      <c r="J30" s="476"/>
      <c r="K30" s="477" t="e">
        <f>J30/D30</f>
        <v>#DIV/0!</v>
      </c>
      <c r="L30" s="478">
        <f t="shared" si="4"/>
        <v>0</v>
      </c>
      <c r="M30" s="479">
        <f t="shared" si="5"/>
        <v>0</v>
      </c>
      <c r="N30" s="480" t="e">
        <f t="shared" si="6"/>
        <v>#DIV/0!</v>
      </c>
      <c r="O30" s="481">
        <f t="shared" si="1"/>
        <v>0</v>
      </c>
    </row>
    <row r="31" spans="1:15" ht="14.25" customHeight="1">
      <c r="A31" s="467"/>
      <c r="B31" s="468"/>
      <c r="C31" s="469"/>
      <c r="D31" s="470"/>
      <c r="E31" s="471"/>
      <c r="F31" s="472">
        <f t="shared" si="7"/>
        <v>0</v>
      </c>
      <c r="G31" s="482"/>
      <c r="H31" s="474" t="e">
        <f t="shared" si="2"/>
        <v>#DIV/0!</v>
      </c>
      <c r="I31" s="475">
        <f t="shared" si="3"/>
        <v>0</v>
      </c>
      <c r="J31" s="476"/>
      <c r="K31" s="477" t="e">
        <f>J31/D31</f>
        <v>#DIV/0!</v>
      </c>
      <c r="L31" s="478">
        <f t="shared" si="4"/>
        <v>0</v>
      </c>
      <c r="M31" s="479">
        <f t="shared" si="5"/>
        <v>0</v>
      </c>
      <c r="N31" s="480" t="e">
        <f t="shared" si="6"/>
        <v>#DIV/0!</v>
      </c>
      <c r="O31" s="481">
        <f t="shared" si="1"/>
        <v>0</v>
      </c>
    </row>
    <row r="32" spans="1:15" ht="14.25" customHeight="1">
      <c r="A32" s="467"/>
      <c r="B32" s="468"/>
      <c r="C32" s="469"/>
      <c r="D32" s="470"/>
      <c r="E32" s="471"/>
      <c r="F32" s="472">
        <f t="shared" si="7"/>
        <v>0</v>
      </c>
      <c r="G32" s="483"/>
      <c r="H32" s="474" t="e">
        <f t="shared" si="2"/>
        <v>#DIV/0!</v>
      </c>
      <c r="I32" s="475">
        <f t="shared" si="3"/>
        <v>0</v>
      </c>
      <c r="J32" s="484"/>
      <c r="K32" s="477" t="e">
        <f aca="true" t="shared" si="8" ref="K32:K37">J32/D32</f>
        <v>#DIV/0!</v>
      </c>
      <c r="L32" s="478">
        <f t="shared" si="4"/>
        <v>0</v>
      </c>
      <c r="M32" s="479">
        <f t="shared" si="5"/>
        <v>0</v>
      </c>
      <c r="N32" s="480" t="e">
        <f t="shared" si="6"/>
        <v>#DIV/0!</v>
      </c>
      <c r="O32" s="481">
        <f t="shared" si="1"/>
        <v>0</v>
      </c>
    </row>
    <row r="33" spans="1:15" ht="14.25" customHeight="1">
      <c r="A33" s="467"/>
      <c r="B33" s="468"/>
      <c r="C33" s="469"/>
      <c r="D33" s="470"/>
      <c r="E33" s="471"/>
      <c r="F33" s="472">
        <f t="shared" si="7"/>
        <v>0</v>
      </c>
      <c r="G33" s="482"/>
      <c r="H33" s="474" t="e">
        <f t="shared" si="2"/>
        <v>#DIV/0!</v>
      </c>
      <c r="I33" s="475">
        <f t="shared" si="3"/>
        <v>0</v>
      </c>
      <c r="J33" s="476"/>
      <c r="K33" s="477" t="e">
        <f t="shared" si="8"/>
        <v>#DIV/0!</v>
      </c>
      <c r="L33" s="478">
        <f t="shared" si="4"/>
        <v>0</v>
      </c>
      <c r="M33" s="479">
        <f t="shared" si="5"/>
        <v>0</v>
      </c>
      <c r="N33" s="480" t="e">
        <f t="shared" si="6"/>
        <v>#DIV/0!</v>
      </c>
      <c r="O33" s="481">
        <f t="shared" si="1"/>
        <v>0</v>
      </c>
    </row>
    <row r="34" spans="1:15" ht="14.25" customHeight="1">
      <c r="A34" s="467"/>
      <c r="B34" s="468"/>
      <c r="C34" s="469"/>
      <c r="D34" s="470"/>
      <c r="E34" s="471"/>
      <c r="F34" s="472">
        <f t="shared" si="7"/>
        <v>0</v>
      </c>
      <c r="G34" s="482"/>
      <c r="H34" s="474" t="e">
        <f t="shared" si="2"/>
        <v>#DIV/0!</v>
      </c>
      <c r="I34" s="475">
        <f t="shared" si="3"/>
        <v>0</v>
      </c>
      <c r="J34" s="476"/>
      <c r="K34" s="477" t="e">
        <f t="shared" si="8"/>
        <v>#DIV/0!</v>
      </c>
      <c r="L34" s="478">
        <f t="shared" si="4"/>
        <v>0</v>
      </c>
      <c r="M34" s="479">
        <f t="shared" si="5"/>
        <v>0</v>
      </c>
      <c r="N34" s="480" t="e">
        <f t="shared" si="6"/>
        <v>#DIV/0!</v>
      </c>
      <c r="O34" s="481">
        <f t="shared" si="1"/>
        <v>0</v>
      </c>
    </row>
    <row r="35" spans="1:15" ht="14.25" customHeight="1">
      <c r="A35" s="467"/>
      <c r="B35" s="468"/>
      <c r="C35" s="469"/>
      <c r="D35" s="470"/>
      <c r="E35" s="471"/>
      <c r="F35" s="472">
        <f t="shared" si="7"/>
        <v>0</v>
      </c>
      <c r="G35" s="482"/>
      <c r="H35" s="474" t="e">
        <f t="shared" si="2"/>
        <v>#DIV/0!</v>
      </c>
      <c r="I35" s="475">
        <f t="shared" si="3"/>
        <v>0</v>
      </c>
      <c r="J35" s="476"/>
      <c r="K35" s="477" t="e">
        <f t="shared" si="8"/>
        <v>#DIV/0!</v>
      </c>
      <c r="L35" s="478">
        <f t="shared" si="4"/>
        <v>0</v>
      </c>
      <c r="M35" s="479">
        <f t="shared" si="5"/>
        <v>0</v>
      </c>
      <c r="N35" s="480" t="e">
        <f t="shared" si="6"/>
        <v>#DIV/0!</v>
      </c>
      <c r="O35" s="481">
        <f t="shared" si="1"/>
        <v>0</v>
      </c>
    </row>
    <row r="36" spans="1:15" ht="12.75">
      <c r="A36" s="467"/>
      <c r="B36" s="468"/>
      <c r="C36" s="469"/>
      <c r="D36" s="470"/>
      <c r="E36" s="471"/>
      <c r="F36" s="472">
        <f t="shared" si="7"/>
        <v>0</v>
      </c>
      <c r="G36" s="482"/>
      <c r="H36" s="474" t="e">
        <f t="shared" si="2"/>
        <v>#DIV/0!</v>
      </c>
      <c r="I36" s="475">
        <f t="shared" si="3"/>
        <v>0</v>
      </c>
      <c r="J36" s="476"/>
      <c r="K36" s="477" t="e">
        <f t="shared" si="8"/>
        <v>#DIV/0!</v>
      </c>
      <c r="L36" s="478">
        <f t="shared" si="4"/>
        <v>0</v>
      </c>
      <c r="M36" s="479">
        <f t="shared" si="5"/>
        <v>0</v>
      </c>
      <c r="N36" s="480" t="e">
        <f t="shared" si="6"/>
        <v>#DIV/0!</v>
      </c>
      <c r="O36" s="481">
        <f t="shared" si="1"/>
        <v>0</v>
      </c>
    </row>
    <row r="37" spans="1:15" ht="12.75">
      <c r="A37" s="485"/>
      <c r="B37" s="486"/>
      <c r="C37" s="487"/>
      <c r="D37" s="470"/>
      <c r="E37" s="471"/>
      <c r="F37" s="472">
        <f t="shared" si="7"/>
        <v>0</v>
      </c>
      <c r="G37" s="482"/>
      <c r="H37" s="474" t="e">
        <f t="shared" si="2"/>
        <v>#DIV/0!</v>
      </c>
      <c r="I37" s="475">
        <f t="shared" si="3"/>
        <v>0</v>
      </c>
      <c r="J37" s="476"/>
      <c r="K37" s="477" t="e">
        <f t="shared" si="8"/>
        <v>#DIV/0!</v>
      </c>
      <c r="L37" s="478">
        <f t="shared" si="4"/>
        <v>0</v>
      </c>
      <c r="M37" s="479">
        <f t="shared" si="5"/>
        <v>0</v>
      </c>
      <c r="N37" s="480" t="e">
        <f t="shared" si="6"/>
        <v>#DIV/0!</v>
      </c>
      <c r="O37" s="481">
        <f t="shared" si="1"/>
        <v>0</v>
      </c>
    </row>
    <row r="38" spans="1:15" ht="12.75">
      <c r="A38" s="467"/>
      <c r="B38" s="468"/>
      <c r="C38" s="488"/>
      <c r="D38" s="470"/>
      <c r="E38" s="471"/>
      <c r="F38" s="472">
        <f>ROUND($D38*$E38,2)</f>
        <v>0</v>
      </c>
      <c r="G38" s="482"/>
      <c r="H38" s="474" t="e">
        <f>G38/D38</f>
        <v>#DIV/0!</v>
      </c>
      <c r="I38" s="475">
        <f t="shared" si="3"/>
        <v>0</v>
      </c>
      <c r="J38" s="476"/>
      <c r="K38" s="477" t="e">
        <f>J38/D38</f>
        <v>#DIV/0!</v>
      </c>
      <c r="L38" s="478">
        <f>J38*$E38</f>
        <v>0</v>
      </c>
      <c r="M38" s="479">
        <f>J38+G38</f>
        <v>0</v>
      </c>
      <c r="N38" s="480" t="e">
        <f>H38+K38</f>
        <v>#DIV/0!</v>
      </c>
      <c r="O38" s="481">
        <f t="shared" si="1"/>
        <v>0</v>
      </c>
    </row>
    <row r="39" spans="1:15" ht="12.75">
      <c r="A39" s="467"/>
      <c r="B39" s="468"/>
      <c r="C39" s="488"/>
      <c r="D39" s="470"/>
      <c r="E39" s="471"/>
      <c r="F39" s="472">
        <f>ROUND($D39*$E39,2)</f>
        <v>0</v>
      </c>
      <c r="G39" s="482"/>
      <c r="H39" s="474" t="e">
        <f>G39/D39</f>
        <v>#DIV/0!</v>
      </c>
      <c r="I39" s="475">
        <f t="shared" si="3"/>
        <v>0</v>
      </c>
      <c r="J39" s="476"/>
      <c r="K39" s="477" t="e">
        <f>J39/D39</f>
        <v>#DIV/0!</v>
      </c>
      <c r="L39" s="478">
        <f>J39*$E39</f>
        <v>0</v>
      </c>
      <c r="M39" s="479">
        <f>J39+G39</f>
        <v>0</v>
      </c>
      <c r="N39" s="480" t="e">
        <f>H39+K39</f>
        <v>#DIV/0!</v>
      </c>
      <c r="O39" s="481">
        <f t="shared" si="1"/>
        <v>0</v>
      </c>
    </row>
    <row r="40" spans="1:15" ht="12.75">
      <c r="A40" s="467"/>
      <c r="B40" s="468"/>
      <c r="C40" s="488"/>
      <c r="D40" s="470"/>
      <c r="E40" s="471"/>
      <c r="F40" s="472">
        <f>ROUND($D40*$E40,2)</f>
        <v>0</v>
      </c>
      <c r="G40" s="482"/>
      <c r="H40" s="474" t="e">
        <f>G40/D40</f>
        <v>#DIV/0!</v>
      </c>
      <c r="I40" s="475">
        <f t="shared" si="3"/>
        <v>0</v>
      </c>
      <c r="J40" s="476"/>
      <c r="K40" s="477" t="e">
        <f>J40/D40</f>
        <v>#DIV/0!</v>
      </c>
      <c r="L40" s="478">
        <f>J40*$E40</f>
        <v>0</v>
      </c>
      <c r="M40" s="479">
        <f>J40+G40</f>
        <v>0</v>
      </c>
      <c r="N40" s="480" t="e">
        <f>H40+K40</f>
        <v>#DIV/0!</v>
      </c>
      <c r="O40" s="481">
        <f t="shared" si="1"/>
        <v>0</v>
      </c>
    </row>
    <row r="41" spans="1:15" ht="12.75">
      <c r="A41" s="467"/>
      <c r="B41" s="468"/>
      <c r="C41" s="488"/>
      <c r="D41" s="470"/>
      <c r="E41" s="471"/>
      <c r="F41" s="472">
        <f>ROUND($D41*$E41,2)</f>
        <v>0</v>
      </c>
      <c r="G41" s="482"/>
      <c r="H41" s="474" t="e">
        <f>G41/D41</f>
        <v>#DIV/0!</v>
      </c>
      <c r="I41" s="475">
        <f t="shared" si="3"/>
        <v>0</v>
      </c>
      <c r="J41" s="476"/>
      <c r="K41" s="477" t="e">
        <f>J41/D41</f>
        <v>#DIV/0!</v>
      </c>
      <c r="L41" s="478">
        <f>J41*$E41</f>
        <v>0</v>
      </c>
      <c r="M41" s="479">
        <f>J41+G41</f>
        <v>0</v>
      </c>
      <c r="N41" s="480" t="e">
        <f>H41+K41</f>
        <v>#DIV/0!</v>
      </c>
      <c r="O41" s="481">
        <f t="shared" si="1"/>
        <v>0</v>
      </c>
    </row>
    <row r="42" spans="1:15" ht="12.75">
      <c r="A42" s="467"/>
      <c r="B42" s="468"/>
      <c r="C42" s="489"/>
      <c r="D42" s="470"/>
      <c r="E42" s="471"/>
      <c r="F42" s="472">
        <f>ROUND($D42*$E42,2)</f>
        <v>0</v>
      </c>
      <c r="G42" s="482"/>
      <c r="H42" s="474" t="e">
        <f>G42/D42</f>
        <v>#DIV/0!</v>
      </c>
      <c r="I42" s="475">
        <f t="shared" si="3"/>
        <v>0</v>
      </c>
      <c r="J42" s="476"/>
      <c r="K42" s="477" t="e">
        <f>J42/D42</f>
        <v>#DIV/0!</v>
      </c>
      <c r="L42" s="478">
        <f>J42*$E42</f>
        <v>0</v>
      </c>
      <c r="M42" s="479">
        <f>J42+G42</f>
        <v>0</v>
      </c>
      <c r="N42" s="480" t="e">
        <f>H42+K42</f>
        <v>#DIV/0!</v>
      </c>
      <c r="O42" s="481">
        <f t="shared" si="1"/>
        <v>0</v>
      </c>
    </row>
    <row r="43" spans="1:15" ht="12.75">
      <c r="A43" s="1117"/>
      <c r="B43" s="1118"/>
      <c r="C43" s="1118"/>
      <c r="D43" s="1118"/>
      <c r="E43" s="1118"/>
      <c r="F43" s="1118"/>
      <c r="G43" s="1118"/>
      <c r="H43" s="1118"/>
      <c r="I43" s="1118"/>
      <c r="J43" s="1118"/>
      <c r="K43" s="1118"/>
      <c r="L43" s="1118"/>
      <c r="M43" s="1118"/>
      <c r="N43" s="1118"/>
      <c r="O43" s="1119"/>
    </row>
    <row r="44" spans="1:15" ht="15.75">
      <c r="A44" s="1117" t="s">
        <v>526</v>
      </c>
      <c r="B44" s="1120"/>
      <c r="C44" s="1121"/>
      <c r="D44" s="1122"/>
      <c r="E44" s="1123"/>
      <c r="F44" s="490">
        <f>SUM(F14:F42)</f>
        <v>0</v>
      </c>
      <c r="G44" s="1124"/>
      <c r="H44" s="1125"/>
      <c r="I44" s="490">
        <f>SUM(I14:I42)</f>
        <v>0</v>
      </c>
      <c r="J44" s="1126"/>
      <c r="K44" s="1127"/>
      <c r="L44" s="490">
        <f>SUM(L14:L42)</f>
        <v>0</v>
      </c>
      <c r="M44" s="1126"/>
      <c r="N44" s="1128"/>
      <c r="O44" s="491">
        <f>SUM(O14:O42)</f>
        <v>0</v>
      </c>
    </row>
    <row r="45" spans="1:15" ht="12.75" customHeight="1" thickBot="1">
      <c r="A45" s="1138" t="s">
        <v>527</v>
      </c>
      <c r="B45" s="1139"/>
      <c r="C45" s="1140"/>
      <c r="D45" s="1139" t="s">
        <v>528</v>
      </c>
      <c r="E45" s="1139"/>
      <c r="F45" s="1139"/>
      <c r="G45" s="1139"/>
      <c r="H45" s="1139"/>
      <c r="I45" s="1139"/>
      <c r="J45" s="1139"/>
      <c r="K45" s="1135" t="s">
        <v>529</v>
      </c>
      <c r="L45" s="1136"/>
      <c r="M45" s="1136"/>
      <c r="N45" s="1136"/>
      <c r="O45" s="1137"/>
    </row>
    <row r="46" spans="1:15" ht="12.75">
      <c r="A46" s="1141"/>
      <c r="B46" s="1142"/>
      <c r="C46" s="1143"/>
      <c r="D46" s="1147"/>
      <c r="E46" s="1147"/>
      <c r="F46" s="1147"/>
      <c r="G46" s="1147"/>
      <c r="H46" s="1147"/>
      <c r="I46" s="1147"/>
      <c r="J46" s="1147"/>
      <c r="K46" s="1149" t="s">
        <v>530</v>
      </c>
      <c r="L46" s="1142"/>
      <c r="M46" s="1142"/>
      <c r="N46" s="1142"/>
      <c r="O46" s="1150"/>
    </row>
    <row r="47" spans="1:15" ht="12.75">
      <c r="A47" s="1141"/>
      <c r="B47" s="1142"/>
      <c r="C47" s="1143"/>
      <c r="D47" s="1148"/>
      <c r="E47" s="1148"/>
      <c r="F47" s="1148"/>
      <c r="G47" s="1148"/>
      <c r="H47" s="1148"/>
      <c r="I47" s="1148"/>
      <c r="J47" s="1148"/>
      <c r="K47" s="1149"/>
      <c r="L47" s="1142"/>
      <c r="M47" s="1142"/>
      <c r="N47" s="1142"/>
      <c r="O47" s="1150"/>
    </row>
    <row r="48" spans="1:15" ht="12.75">
      <c r="A48" s="1144"/>
      <c r="B48" s="1145"/>
      <c r="C48" s="1146"/>
      <c r="D48" s="1148"/>
      <c r="E48" s="1148"/>
      <c r="F48" s="1148"/>
      <c r="G48" s="1148"/>
      <c r="H48" s="1148"/>
      <c r="I48" s="1148"/>
      <c r="J48" s="1148"/>
      <c r="K48" s="1151"/>
      <c r="L48" s="1145"/>
      <c r="M48" s="1145"/>
      <c r="N48" s="1145"/>
      <c r="O48" s="1152"/>
    </row>
    <row r="49" spans="1:15" ht="12.75" customHeight="1" thickBot="1">
      <c r="A49" s="1129" t="s">
        <v>531</v>
      </c>
      <c r="B49" s="1130"/>
      <c r="C49" s="1131"/>
      <c r="D49" s="1132" t="s">
        <v>532</v>
      </c>
      <c r="E49" s="1133"/>
      <c r="F49" s="1133"/>
      <c r="G49" s="1133"/>
      <c r="H49" s="1133"/>
      <c r="I49" s="1133"/>
      <c r="J49" s="1134"/>
      <c r="K49" s="1135" t="s">
        <v>533</v>
      </c>
      <c r="L49" s="1136"/>
      <c r="M49" s="1136"/>
      <c r="N49" s="1136"/>
      <c r="O49" s="1137"/>
    </row>
    <row r="51" ht="12.75">
      <c r="F51" s="170"/>
    </row>
  </sheetData>
  <sheetProtection/>
  <mergeCells count="58">
    <mergeCell ref="A49:C49"/>
    <mergeCell ref="D49:J49"/>
    <mergeCell ref="K49:O49"/>
    <mergeCell ref="A45:C45"/>
    <mergeCell ref="D45:J45"/>
    <mergeCell ref="K45:O45"/>
    <mergeCell ref="A46:C48"/>
    <mergeCell ref="D46:J48"/>
    <mergeCell ref="K46:O48"/>
    <mergeCell ref="C13:O13"/>
    <mergeCell ref="A43:O43"/>
    <mergeCell ref="A44:B44"/>
    <mergeCell ref="C44:E44"/>
    <mergeCell ref="G44:H44"/>
    <mergeCell ref="J44:K44"/>
    <mergeCell ref="M44:N44"/>
    <mergeCell ref="A10:A12"/>
    <mergeCell ref="B10:B12"/>
    <mergeCell ref="C10:F11"/>
    <mergeCell ref="G10:O10"/>
    <mergeCell ref="G11:I11"/>
    <mergeCell ref="J11:L11"/>
    <mergeCell ref="M11:O11"/>
    <mergeCell ref="N7:O7"/>
    <mergeCell ref="A8:F9"/>
    <mergeCell ref="G8:I8"/>
    <mergeCell ref="J8:L8"/>
    <mergeCell ref="N8:O8"/>
    <mergeCell ref="G9:I9"/>
    <mergeCell ref="J9:L9"/>
    <mergeCell ref="N9:O9"/>
    <mergeCell ref="M4:M5"/>
    <mergeCell ref="N4:N5"/>
    <mergeCell ref="O4:O5"/>
    <mergeCell ref="A5:F5"/>
    <mergeCell ref="A6:F7"/>
    <mergeCell ref="G6:I6"/>
    <mergeCell ref="J6:L6"/>
    <mergeCell ref="N6:O6"/>
    <mergeCell ref="G7:I7"/>
    <mergeCell ref="J7:L7"/>
    <mergeCell ref="F3:L3"/>
    <mergeCell ref="A4:F4"/>
    <mergeCell ref="G4:H5"/>
    <mergeCell ref="I4:I5"/>
    <mergeCell ref="J4:J5"/>
    <mergeCell ref="K4:K5"/>
    <mergeCell ref="L4:L5"/>
    <mergeCell ref="A1:B2"/>
    <mergeCell ref="C1:E1"/>
    <mergeCell ref="F1:L1"/>
    <mergeCell ref="M1:M3"/>
    <mergeCell ref="N1:N3"/>
    <mergeCell ref="O1:O3"/>
    <mergeCell ref="C2:E2"/>
    <mergeCell ref="F2:L2"/>
    <mergeCell ref="A3:B3"/>
    <mergeCell ref="C3:E3"/>
  </mergeCells>
  <printOptions horizontalCentered="1"/>
  <pageMargins left="0.6299212598425197" right="0.5905511811023623" top="0.5905511811023623" bottom="0.5905511811023623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C1">
      <selection activeCell="D45" sqref="D45"/>
    </sheetView>
  </sheetViews>
  <sheetFormatPr defaultColWidth="9.140625" defaultRowHeight="12.75"/>
  <cols>
    <col min="1" max="1" width="6.140625" style="515" customWidth="1"/>
    <col min="2" max="2" width="39.7109375" style="0" customWidth="1"/>
    <col min="3" max="3" width="15.28125" style="6" customWidth="1"/>
    <col min="4" max="4" width="22.28125" style="0" customWidth="1"/>
    <col min="5" max="5" width="15.7109375" style="0" customWidth="1"/>
    <col min="6" max="6" width="14.7109375" style="0" customWidth="1"/>
    <col min="7" max="7" width="12.28125" style="10" customWidth="1"/>
    <col min="8" max="8" width="15.7109375" style="6" customWidth="1"/>
    <col min="9" max="9" width="22.140625" style="0" customWidth="1"/>
    <col min="10" max="10" width="15.7109375" style="0" customWidth="1"/>
    <col min="11" max="11" width="14.7109375" style="0" customWidth="1"/>
    <col min="12" max="12" width="11.7109375" style="10" customWidth="1"/>
    <col min="13" max="13" width="15.7109375" style="6" customWidth="1"/>
    <col min="14" max="14" width="22.140625" style="0" customWidth="1"/>
    <col min="15" max="15" width="15.7109375" style="0" customWidth="1"/>
    <col min="16" max="16" width="14.7109375" style="0" customWidth="1"/>
    <col min="17" max="17" width="12.28125" style="10" customWidth="1"/>
  </cols>
  <sheetData>
    <row r="1" spans="1:17" ht="42" customHeight="1">
      <c r="A1" s="1159"/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0"/>
      <c r="Q1" s="1161"/>
    </row>
    <row r="2" spans="1:17" ht="24.75" customHeight="1">
      <c r="A2" s="1162" t="s">
        <v>534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  <c r="Q2" s="1164"/>
    </row>
    <row r="3" spans="1:17" s="169" customFormat="1" ht="17.25" customHeight="1">
      <c r="A3" s="1153" t="s">
        <v>465</v>
      </c>
      <c r="B3" s="1154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1155"/>
      <c r="O3" s="1155"/>
      <c r="P3" s="1155"/>
      <c r="Q3" s="1156"/>
    </row>
    <row r="4" spans="1:17" s="169" customFormat="1" ht="14.25" customHeight="1">
      <c r="A4" s="1153" t="s">
        <v>17</v>
      </c>
      <c r="B4" s="1154"/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1156"/>
    </row>
    <row r="5" spans="1:17" s="169" customFormat="1" ht="14.25" customHeight="1">
      <c r="A5" s="1153" t="s">
        <v>200</v>
      </c>
      <c r="B5" s="1154"/>
      <c r="C5" s="1155"/>
      <c r="D5" s="1155"/>
      <c r="E5" s="1155"/>
      <c r="F5" s="1155"/>
      <c r="G5" s="1155"/>
      <c r="H5" s="1155"/>
      <c r="I5" s="1155"/>
      <c r="J5" s="1155"/>
      <c r="K5" s="1155"/>
      <c r="L5" s="1155"/>
      <c r="M5" s="1155"/>
      <c r="N5" s="1155"/>
      <c r="O5" s="1155"/>
      <c r="P5" s="1155"/>
      <c r="Q5" s="1156"/>
    </row>
    <row r="6" spans="1:17" s="169" customFormat="1" ht="12.75" customHeight="1" thickBot="1">
      <c r="A6" s="1157" t="s">
        <v>468</v>
      </c>
      <c r="B6" s="1158"/>
      <c r="C6" s="1155"/>
      <c r="D6" s="1155"/>
      <c r="E6" s="1155"/>
      <c r="F6" s="1155"/>
      <c r="G6" s="1155"/>
      <c r="H6" s="1155"/>
      <c r="I6" s="1155"/>
      <c r="J6" s="1155"/>
      <c r="K6" s="1155"/>
      <c r="L6" s="1155"/>
      <c r="M6" s="1155"/>
      <c r="N6" s="1155"/>
      <c r="O6" s="1155"/>
      <c r="P6" s="1155"/>
      <c r="Q6" s="1156"/>
    </row>
    <row r="7" spans="1:17" ht="51" customHeight="1" thickBot="1">
      <c r="A7" s="492" t="s">
        <v>0</v>
      </c>
      <c r="B7" s="493" t="s">
        <v>1</v>
      </c>
      <c r="C7" s="494" t="s">
        <v>535</v>
      </c>
      <c r="D7" s="493" t="s">
        <v>536</v>
      </c>
      <c r="E7" s="493" t="s">
        <v>537</v>
      </c>
      <c r="F7" s="493" t="s">
        <v>538</v>
      </c>
      <c r="G7" s="493" t="s">
        <v>539</v>
      </c>
      <c r="H7" s="495" t="s">
        <v>535</v>
      </c>
      <c r="I7" s="493" t="s">
        <v>540</v>
      </c>
      <c r="J7" s="496" t="s">
        <v>541</v>
      </c>
      <c r="K7" s="497" t="s">
        <v>538</v>
      </c>
      <c r="L7" s="498" t="s">
        <v>539</v>
      </c>
      <c r="M7" s="499" t="s">
        <v>535</v>
      </c>
      <c r="N7" s="493" t="s">
        <v>542</v>
      </c>
      <c r="O7" s="493" t="s">
        <v>543</v>
      </c>
      <c r="P7" s="493" t="s">
        <v>538</v>
      </c>
      <c r="Q7" s="500" t="s">
        <v>539</v>
      </c>
    </row>
    <row r="8" spans="1:17" s="116" customFormat="1" ht="15">
      <c r="A8" s="501">
        <v>1</v>
      </c>
      <c r="B8" s="502"/>
      <c r="C8" s="503"/>
      <c r="D8" s="502"/>
      <c r="E8" s="504"/>
      <c r="F8" s="505"/>
      <c r="G8" s="506"/>
      <c r="H8" s="503"/>
      <c r="I8" s="502"/>
      <c r="J8" s="504"/>
      <c r="K8" s="505"/>
      <c r="L8" s="506"/>
      <c r="M8" s="503"/>
      <c r="N8" s="502"/>
      <c r="O8" s="504"/>
      <c r="P8" s="505"/>
      <c r="Q8" s="507"/>
    </row>
    <row r="9" spans="1:17" s="116" customFormat="1" ht="15">
      <c r="A9" s="501">
        <v>2</v>
      </c>
      <c r="B9" s="502"/>
      <c r="C9" s="503"/>
      <c r="D9" s="502"/>
      <c r="E9" s="504"/>
      <c r="F9" s="505"/>
      <c r="G9" s="506"/>
      <c r="H9" s="503"/>
      <c r="I9" s="502"/>
      <c r="J9" s="504"/>
      <c r="K9" s="505"/>
      <c r="L9" s="506"/>
      <c r="M9" s="503"/>
      <c r="N9" s="502"/>
      <c r="O9" s="504"/>
      <c r="P9" s="505"/>
      <c r="Q9" s="507"/>
    </row>
    <row r="10" spans="1:17" s="116" customFormat="1" ht="15">
      <c r="A10" s="501">
        <v>3</v>
      </c>
      <c r="B10" s="502"/>
      <c r="C10" s="503"/>
      <c r="D10" s="502"/>
      <c r="E10" s="504"/>
      <c r="F10" s="505"/>
      <c r="G10" s="506"/>
      <c r="H10" s="503"/>
      <c r="I10" s="502"/>
      <c r="J10" s="504"/>
      <c r="K10" s="505"/>
      <c r="L10" s="506"/>
      <c r="M10" s="503"/>
      <c r="N10" s="502"/>
      <c r="O10" s="504"/>
      <c r="P10" s="505"/>
      <c r="Q10" s="507"/>
    </row>
    <row r="11" spans="1:17" s="116" customFormat="1" ht="15">
      <c r="A11" s="501">
        <v>4</v>
      </c>
      <c r="B11" s="502"/>
      <c r="C11" s="503"/>
      <c r="D11" s="502"/>
      <c r="E11" s="504"/>
      <c r="F11" s="505"/>
      <c r="G11" s="506"/>
      <c r="H11" s="503"/>
      <c r="I11" s="502"/>
      <c r="J11" s="504"/>
      <c r="K11" s="505"/>
      <c r="L11" s="506"/>
      <c r="M11" s="503"/>
      <c r="N11" s="502"/>
      <c r="O11" s="504"/>
      <c r="P11" s="505"/>
      <c r="Q11" s="507"/>
    </row>
    <row r="12" spans="1:17" s="116" customFormat="1" ht="15">
      <c r="A12" s="501">
        <v>5</v>
      </c>
      <c r="B12" s="502"/>
      <c r="C12" s="503"/>
      <c r="D12" s="502"/>
      <c r="E12" s="504"/>
      <c r="F12" s="505"/>
      <c r="G12" s="506"/>
      <c r="H12" s="503"/>
      <c r="I12" s="502"/>
      <c r="J12" s="504"/>
      <c r="K12" s="505"/>
      <c r="L12" s="506"/>
      <c r="M12" s="503"/>
      <c r="N12" s="502"/>
      <c r="O12" s="504"/>
      <c r="P12" s="505"/>
      <c r="Q12" s="507"/>
    </row>
    <row r="13" spans="1:17" s="116" customFormat="1" ht="15">
      <c r="A13" s="501">
        <v>6</v>
      </c>
      <c r="B13" s="502"/>
      <c r="C13" s="503"/>
      <c r="D13" s="502"/>
      <c r="E13" s="504"/>
      <c r="F13" s="505"/>
      <c r="G13" s="506"/>
      <c r="H13" s="503"/>
      <c r="I13" s="502"/>
      <c r="J13" s="504"/>
      <c r="K13" s="505"/>
      <c r="L13" s="506"/>
      <c r="M13" s="503"/>
      <c r="N13" s="502"/>
      <c r="O13" s="504"/>
      <c r="P13" s="505"/>
      <c r="Q13" s="507"/>
    </row>
    <row r="14" spans="1:17" s="116" customFormat="1" ht="15">
      <c r="A14" s="501">
        <v>7</v>
      </c>
      <c r="B14" s="502"/>
      <c r="C14" s="503"/>
      <c r="D14" s="502"/>
      <c r="E14" s="504"/>
      <c r="F14" s="505"/>
      <c r="G14" s="506"/>
      <c r="H14" s="503"/>
      <c r="I14" s="502"/>
      <c r="J14" s="504"/>
      <c r="K14" s="505"/>
      <c r="L14" s="506"/>
      <c r="M14" s="503"/>
      <c r="N14" s="502"/>
      <c r="O14" s="504"/>
      <c r="P14" s="505"/>
      <c r="Q14" s="507"/>
    </row>
    <row r="15" spans="1:17" s="116" customFormat="1" ht="15">
      <c r="A15" s="501">
        <v>8</v>
      </c>
      <c r="B15" s="502"/>
      <c r="C15" s="503"/>
      <c r="D15" s="502"/>
      <c r="E15" s="504"/>
      <c r="F15" s="505"/>
      <c r="G15" s="506"/>
      <c r="H15" s="503"/>
      <c r="I15" s="502"/>
      <c r="J15" s="504"/>
      <c r="K15" s="505"/>
      <c r="L15" s="506"/>
      <c r="M15" s="503"/>
      <c r="N15" s="502"/>
      <c r="O15" s="504"/>
      <c r="P15" s="505"/>
      <c r="Q15" s="507"/>
    </row>
    <row r="16" spans="1:17" s="116" customFormat="1" ht="15">
      <c r="A16" s="501">
        <v>9</v>
      </c>
      <c r="B16" s="502"/>
      <c r="C16" s="503"/>
      <c r="D16" s="502"/>
      <c r="E16" s="504"/>
      <c r="F16" s="505"/>
      <c r="G16" s="506"/>
      <c r="H16" s="503"/>
      <c r="I16" s="502"/>
      <c r="J16" s="504"/>
      <c r="K16" s="505"/>
      <c r="L16" s="506"/>
      <c r="M16" s="503"/>
      <c r="N16" s="502"/>
      <c r="O16" s="504"/>
      <c r="P16" s="505"/>
      <c r="Q16" s="507"/>
    </row>
    <row r="17" spans="1:17" s="116" customFormat="1" ht="15">
      <c r="A17" s="501">
        <v>10</v>
      </c>
      <c r="B17" s="502"/>
      <c r="C17" s="503"/>
      <c r="D17" s="502"/>
      <c r="E17" s="504"/>
      <c r="F17" s="505"/>
      <c r="G17" s="506"/>
      <c r="H17" s="503"/>
      <c r="I17" s="502"/>
      <c r="J17" s="504"/>
      <c r="K17" s="505"/>
      <c r="L17" s="506"/>
      <c r="M17" s="503"/>
      <c r="N17" s="502"/>
      <c r="O17" s="504"/>
      <c r="P17" s="505"/>
      <c r="Q17" s="507"/>
    </row>
    <row r="18" spans="1:17" s="116" customFormat="1" ht="15">
      <c r="A18" s="501">
        <v>11</v>
      </c>
      <c r="B18" s="502"/>
      <c r="C18" s="503"/>
      <c r="D18" s="502"/>
      <c r="E18" s="504"/>
      <c r="F18" s="505"/>
      <c r="G18" s="506"/>
      <c r="H18" s="503"/>
      <c r="I18" s="502"/>
      <c r="J18" s="504"/>
      <c r="K18" s="505"/>
      <c r="L18" s="506"/>
      <c r="M18" s="503"/>
      <c r="N18" s="502"/>
      <c r="O18" s="504"/>
      <c r="P18" s="505"/>
      <c r="Q18" s="507"/>
    </row>
    <row r="19" spans="1:17" s="116" customFormat="1" ht="15">
      <c r="A19" s="501">
        <v>12</v>
      </c>
      <c r="B19" s="502"/>
      <c r="C19" s="503"/>
      <c r="D19" s="502"/>
      <c r="E19" s="504"/>
      <c r="F19" s="505"/>
      <c r="G19" s="506"/>
      <c r="H19" s="503"/>
      <c r="I19" s="502"/>
      <c r="J19" s="504"/>
      <c r="K19" s="505"/>
      <c r="L19" s="506"/>
      <c r="M19" s="503"/>
      <c r="N19" s="502"/>
      <c r="O19" s="504"/>
      <c r="P19" s="505"/>
      <c r="Q19" s="507"/>
    </row>
    <row r="20" spans="1:17" s="116" customFormat="1" ht="15">
      <c r="A20" s="501">
        <v>13</v>
      </c>
      <c r="B20" s="502"/>
      <c r="C20" s="503"/>
      <c r="D20" s="502"/>
      <c r="E20" s="504"/>
      <c r="F20" s="505"/>
      <c r="G20" s="506"/>
      <c r="H20" s="503"/>
      <c r="I20" s="502"/>
      <c r="J20" s="504"/>
      <c r="K20" s="505"/>
      <c r="L20" s="506"/>
      <c r="M20" s="503"/>
      <c r="N20" s="502"/>
      <c r="O20" s="504"/>
      <c r="P20" s="505"/>
      <c r="Q20" s="507"/>
    </row>
    <row r="21" spans="1:17" s="116" customFormat="1" ht="15">
      <c r="A21" s="501">
        <v>14</v>
      </c>
      <c r="B21" s="502"/>
      <c r="C21" s="503"/>
      <c r="D21" s="502"/>
      <c r="E21" s="504"/>
      <c r="F21" s="505"/>
      <c r="G21" s="506"/>
      <c r="H21" s="503"/>
      <c r="I21" s="502"/>
      <c r="J21" s="504"/>
      <c r="K21" s="505"/>
      <c r="L21" s="506"/>
      <c r="M21" s="503"/>
      <c r="N21" s="502"/>
      <c r="O21" s="504"/>
      <c r="P21" s="505"/>
      <c r="Q21" s="507"/>
    </row>
    <row r="22" spans="1:17" s="116" customFormat="1" ht="15.75" thickBot="1">
      <c r="A22" s="508">
        <v>15</v>
      </c>
      <c r="B22" s="509"/>
      <c r="C22" s="510"/>
      <c r="D22" s="509"/>
      <c r="E22" s="511"/>
      <c r="F22" s="512"/>
      <c r="G22" s="513"/>
      <c r="H22" s="510"/>
      <c r="I22" s="509"/>
      <c r="J22" s="511"/>
      <c r="K22" s="512"/>
      <c r="L22" s="513"/>
      <c r="M22" s="510"/>
      <c r="N22" s="509"/>
      <c r="O22" s="511"/>
      <c r="P22" s="512"/>
      <c r="Q22" s="514"/>
    </row>
    <row r="23" ht="14.25">
      <c r="A23" s="117" t="s">
        <v>544</v>
      </c>
    </row>
  </sheetData>
  <sheetProtection/>
  <mergeCells count="10">
    <mergeCell ref="A5:B5"/>
    <mergeCell ref="C5:Q5"/>
    <mergeCell ref="A6:B6"/>
    <mergeCell ref="C6:Q6"/>
    <mergeCell ref="A1:Q1"/>
    <mergeCell ref="A2:Q2"/>
    <mergeCell ref="A3:B3"/>
    <mergeCell ref="C3:Q3"/>
    <mergeCell ref="A4:B4"/>
    <mergeCell ref="C4:Q4"/>
  </mergeCells>
  <printOptions horizontalCentered="1"/>
  <pageMargins left="0.1968503937007874" right="0.1968503937007874" top="0.3937007874015748" bottom="0.1968503937007874" header="0" footer="0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Amfri</dc:creator>
  <cp:keywords/>
  <dc:description/>
  <cp:lastModifiedBy>Carlos Alberto Bley</cp:lastModifiedBy>
  <cp:lastPrinted>2014-03-25T18:26:23Z</cp:lastPrinted>
  <dcterms:created xsi:type="dcterms:W3CDTF">2004-02-08T00:22:30Z</dcterms:created>
  <dcterms:modified xsi:type="dcterms:W3CDTF">2014-03-25T18:39:23Z</dcterms:modified>
  <cp:category/>
  <cp:version/>
  <cp:contentType/>
  <cp:contentStatus/>
</cp:coreProperties>
</file>