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PAVER" sheetId="12" r:id="rId12"/>
    <sheet name="TATIL" sheetId="13" r:id="rId13"/>
    <sheet name="BDI " sheetId="14" r:id="rId14"/>
  </sheets>
  <externalReferences>
    <externalReference r:id="rId17"/>
  </externalReferences>
  <definedNames>
    <definedName name="_xlfn.AVERAGEIF" hidden="1">#NAME?</definedName>
    <definedName name="_xlfn.SUMIFS" hidden="1">#NAME?</definedName>
    <definedName name="_xlnm.Print_Area" localSheetId="13">'BDI '!$A$1:$C$32</definedName>
    <definedName name="_xlnm.Print_Area" localSheetId="10">'CL Ø40 e Ø 60'!$A$1:$F$48</definedName>
    <definedName name="_xlnm.Print_Area" localSheetId="6">'CRONOGRAMA'!$A$1:$P$66</definedName>
    <definedName name="_xlnm.Print_Area" localSheetId="2">'Drenagem'!$A$1:$M$28</definedName>
    <definedName name="_xlnm.Print_Area" localSheetId="3">'Escavação'!$A$1:$W$46</definedName>
    <definedName name="_xlnm.Print_Area" localSheetId="7">'MEDIÇÃO'!$A$1:$O$49</definedName>
    <definedName name="_xlnm.Print_Area" localSheetId="4">'MEMORIAL'!$A$1:$F$69</definedName>
    <definedName name="_xlnm.Print_Area" localSheetId="5">'ORÇAMENTO'!$A$1:$I$64</definedName>
    <definedName name="_xlnm.Print_Area" localSheetId="11">'PAVER'!$A$1:$F$46</definedName>
    <definedName name="_xlnm.Print_Area" localSheetId="9">'PV Ø40 e Ø 60'!$A$1:$F$48</definedName>
    <definedName name="_xlnm.Print_Area" localSheetId="12">'TATIL'!$A$1:$F$48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'ORÇAMENTO'!$A$61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<sst xmlns="http://schemas.openxmlformats.org/spreadsheetml/2006/main" count="1221" uniqueCount="613">
  <si>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</si>
  <si>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</si>
  <si>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</si>
  <si>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</si>
  <si>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</si>
  <si>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</si>
  <si>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</si>
  <si>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</si>
  <si>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</si>
  <si>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</si>
  <si>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</si>
  <si>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</si>
  <si>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</si>
  <si>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</si>
  <si>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</si>
  <si>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</si>
  <si>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</si>
  <si>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</si>
  <si>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</si>
  <si>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</si>
  <si>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</si>
  <si>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</si>
  <si>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</si>
  <si>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</si>
  <si>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</si>
  <si>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</si>
  <si>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</si>
  <si>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</si>
  <si>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</si>
  <si>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</si>
  <si>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</si>
  <si>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</si>
  <si>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</si>
  <si>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</si>
  <si>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</si>
  <si>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</si>
  <si>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</si>
  <si>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</si>
  <si>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</si>
  <si>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</si>
  <si>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</si>
  <si>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</si>
  <si>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</si>
  <si>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</si>
  <si>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</si>
  <si>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</si>
  <si>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</si>
  <si>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</si>
  <si>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</si>
  <si>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</si>
  <si>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</si>
  <si>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</si>
  <si>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</si>
  <si>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</si>
  <si>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</si>
  <si>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</si>
  <si>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</si>
  <si>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</si>
  <si>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</si>
  <si>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</si>
  <si>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</si>
  <si>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</si>
  <si>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</si>
  <si>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</si>
  <si>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</si>
  <si>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</si>
  <si>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</si>
  <si>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</si>
  <si>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</si>
  <si>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</si>
  <si>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</si>
  <si>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</si>
  <si>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</si>
  <si>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</si>
  <si>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</si>
  <si>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</si>
  <si>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</si>
  <si>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</si>
  <si>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</si>
  <si>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</si>
  <si>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</si>
  <si>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</si>
  <si>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</si>
  <si>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</si>
  <si>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</si>
  <si>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</si>
  <si>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</si>
  <si>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</si>
  <si>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</si>
  <si>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</si>
  <si>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</si>
  <si>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</si>
  <si>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</si>
  <si>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</si>
  <si>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</si>
  <si>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</si>
  <si>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</si>
  <si>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</si>
  <si>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</si>
  <si>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</si>
  <si>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</si>
  <si>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</si>
  <si>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</si>
  <si>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</si>
  <si>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</si>
  <si>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</si>
  <si>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</si>
  <si>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</si>
  <si>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</si>
  <si>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</si>
  <si>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</si>
  <si>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</si>
  <si>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</si>
  <si>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</si>
  <si>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</si>
  <si>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</si>
  <si>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</si>
  <si>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</si>
  <si>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</si>
  <si>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</si>
  <si>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</si>
  <si>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</si>
  <si>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</si>
  <si>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</si>
  <si>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</si>
  <si>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</si>
  <si>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</si>
  <si>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</si>
  <si>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</si>
  <si>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</si>
  <si>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</si>
  <si>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</si>
  <si>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</si>
  <si>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</si>
  <si>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</si>
  <si>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</si>
  <si>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</si>
  <si>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</si>
  <si>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</si>
  <si>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</si>
  <si>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</si>
  <si>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</si>
  <si>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</si>
  <si>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</si>
  <si>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</si>
  <si>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</si>
  <si>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</si>
  <si>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</si>
  <si>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</si>
  <si>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</si>
  <si>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</si>
  <si>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</si>
  <si>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</si>
  <si>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</si>
  <si>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</si>
  <si>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</si>
  <si>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</si>
  <si>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</si>
  <si>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</si>
  <si>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</si>
  <si>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</si>
  <si>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</si>
  <si>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</si>
  <si>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</si>
  <si>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</si>
  <si>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</si>
  <si>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</si>
  <si>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</si>
  <si>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</si>
  <si>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</si>
  <si>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</si>
  <si>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</si>
  <si>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</si>
  <si>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</si>
  <si>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</si>
  <si>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</si>
  <si>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</si>
  <si>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</si>
  <si>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</si>
  <si>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</si>
  <si>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</si>
  <si>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</si>
  <si>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</si>
  <si>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</si>
  <si>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</si>
  <si>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</si>
  <si>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</si>
  <si>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</si>
  <si>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</si>
  <si>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</si>
  <si>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</si>
  <si>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</si>
  <si>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</si>
  <si>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</si>
  <si>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</si>
  <si>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</si>
  <si>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</si>
  <si>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</si>
  <si>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</si>
  <si>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</si>
  <si>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</si>
  <si>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</si>
  <si>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</si>
  <si>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</si>
  <si>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</si>
  <si>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</si>
  <si>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</si>
  <si>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</si>
  <si>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</si>
  <si>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</si>
  <si>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</si>
  <si>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</si>
  <si>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</si>
  <si>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</si>
  <si>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</si>
  <si>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</si>
  <si>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</si>
  <si>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</si>
  <si>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</si>
  <si>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</si>
  <si>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</si>
  <si>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</si>
  <si>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</si>
  <si>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</si>
  <si>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</si>
  <si>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</si>
  <si>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</si>
  <si>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</si>
  <si>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</si>
  <si>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</si>
  <si>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</si>
  <si>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</si>
  <si>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</si>
  <si>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</si>
  <si>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</si>
  <si>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</si>
  <si>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</si>
  <si>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</si>
  <si>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</si>
  <si>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</si>
  <si>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</si>
  <si>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</si>
  <si>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</si>
  <si>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</si>
  <si>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</si>
  <si>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</si>
  <si>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</si>
  <si>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</si>
  <si>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</si>
  <si>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</si>
  <si>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</si>
  <si>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</si>
  <si>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</si>
  <si>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</si>
  <si>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</si>
  <si>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</si>
  <si>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</si>
  <si>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</si>
  <si>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</si>
  <si>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</si>
  <si>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</si>
  <si>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</si>
  <si>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</si>
  <si>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</si>
  <si>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</si>
  <si>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</si>
  <si>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</si>
  <si>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</si>
  <si>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</si>
  <si>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</si>
  <si>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</si>
  <si>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</si>
  <si>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</si>
  <si>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</si>
  <si>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</si>
  <si>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</si>
  <si>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</si>
  <si>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</si>
  <si>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</si>
  <si>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</si>
  <si>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</si>
  <si>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</si>
  <si>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</si>
  <si>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</si>
  <si>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</si>
  <si>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</si>
  <si>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</si>
  <si>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</si>
  <si>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</si>
  <si>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</si>
  <si>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</si>
  <si>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</si>
  <si>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</si>
  <si>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</si>
  <si>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</si>
  <si>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</si>
  <si>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</si>
  <si>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</si>
  <si>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</si>
  <si>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</si>
  <si>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</si>
  <si>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</si>
  <si>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</si>
  <si>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</si>
  <si>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</si>
  <si>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</si>
  <si>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</si>
  <si>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</si>
  <si>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</si>
  <si>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</si>
  <si>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</si>
  <si>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</si>
  <si>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</si>
  <si>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</si>
  <si>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</si>
  <si>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</si>
  <si>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</si>
  <si>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</si>
  <si>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</si>
  <si>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</si>
  <si>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</si>
  <si>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</si>
  <si>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</si>
  <si>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</si>
  <si>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</si>
  <si>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</si>
  <si>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</si>
  <si>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</si>
  <si>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</si>
  <si>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</si>
  <si>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</si>
  <si>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</si>
  <si>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</si>
  <si>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</si>
  <si>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</si>
  <si>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</si>
  <si>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</si>
  <si>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</si>
  <si>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</si>
  <si>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</si>
  <si>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</si>
  <si>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</si>
  <si>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</si>
  <si>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</si>
  <si>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</si>
  <si>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</si>
  <si>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</si>
  <si>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</si>
  <si>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</si>
  <si>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</si>
  <si>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</si>
  <si>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</si>
  <si>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</si>
  <si>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</si>
  <si>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</si>
  <si>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</si>
  <si>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</si>
  <si>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</si>
  <si>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</si>
  <si>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</si>
  <si>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</si>
  <si>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</si>
  <si>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</si>
  <si>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</si>
  <si>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</si>
  <si>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</si>
  <si>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</si>
  <si>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</si>
  <si>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</si>
  <si>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</si>
  <si>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</si>
  <si>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</si>
  <si>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</si>
  <si>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</si>
  <si>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</si>
  <si>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</si>
  <si>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</si>
  <si>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</si>
  <si>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</si>
  <si>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</si>
  <si>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</si>
  <si>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</si>
  <si>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</si>
  <si>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</si>
  <si>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</si>
  <si>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</si>
  <si>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</si>
  <si>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</si>
  <si>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</si>
  <si>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</si>
  <si>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</si>
  <si>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</si>
  <si>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</si>
  <si>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</si>
  <si>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</si>
  <si>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</si>
  <si>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</si>
  <si>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</si>
  <si>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</si>
  <si>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</si>
  <si>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</si>
  <si>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</si>
  <si>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</si>
  <si>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</si>
  <si>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</si>
  <si>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</si>
  <si>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</si>
  <si>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</si>
  <si>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</si>
  <si>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</si>
  <si>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</si>
  <si>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</si>
  <si>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</si>
  <si>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</si>
  <si>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</si>
  <si>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</si>
  <si>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</si>
  <si>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</si>
  <si>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</si>
  <si>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</si>
  <si>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</si>
  <si>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</si>
  <si>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</si>
  <si>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</si>
  <si>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</si>
  <si>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</si>
  <si>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</si>
  <si>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</si>
  <si>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</si>
  <si>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</si>
  <si>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</si>
  <si>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</si>
  <si>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</si>
  <si>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</si>
  <si>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 xml:space="preserve">RUA </t>
  </si>
  <si>
    <t>PAVIMENTAÇÃO PASSEIO</t>
  </si>
  <si>
    <t>Meio-fio interno 15 x 30 x 80 cm - incluindo rejunte e reaterro - fck=25 MPa</t>
  </si>
  <si>
    <t>4.3</t>
  </si>
  <si>
    <t>4.4</t>
  </si>
  <si>
    <t>4.5</t>
  </si>
  <si>
    <t>RAMPA ACESSO PASSEIO DEFICIENTE FÍSICO</t>
  </si>
  <si>
    <t>Concreto simples h=7 cm, virado em betoneira fck=20 MPa</t>
  </si>
  <si>
    <t>Pintura símbolo Deficiente Físico - Cor fundo azul 60 x 60 cm</t>
  </si>
  <si>
    <t>Pintura símbolo Deficiente Físico - Pictograma cor branca</t>
  </si>
  <si>
    <t>5.1</t>
  </si>
  <si>
    <t>5.2</t>
  </si>
  <si>
    <t>5.3</t>
  </si>
  <si>
    <t>Pintura faixa de travessia de pedestres zebrada - FTP-1 cor branca</t>
  </si>
  <si>
    <t>6.1</t>
  </si>
  <si>
    <t>6.2</t>
  </si>
  <si>
    <t>6.3</t>
  </si>
  <si>
    <t>Boca de lobo</t>
  </si>
  <si>
    <t>6.4</t>
  </si>
  <si>
    <t>Sinalização tátil de alerta 20 x 20 x 6 cm fck=35 MPa</t>
  </si>
  <si>
    <t>Carga mecanizada e remoção de excedentes com transporte até 1 km</t>
  </si>
  <si>
    <t>______________________________</t>
  </si>
  <si>
    <t>6.5</t>
  </si>
  <si>
    <t>Pavimento intertravado paver holand cinza 20 x 10 x 6 cm fck=35 MPa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</si>
  <si>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</si>
  <si>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</si>
  <si>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</si>
  <si>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</si>
  <si>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</si>
  <si>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</si>
  <si>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</si>
  <si>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</si>
  <si>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</si>
  <si>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</si>
  <si>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</si>
  <si>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</si>
  <si>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</si>
  <si>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</si>
  <si>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</si>
  <si>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</si>
  <si>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</si>
  <si>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</si>
  <si>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</si>
  <si>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</si>
  <si>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</si>
  <si>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</si>
  <si>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</si>
  <si>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</si>
  <si>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</si>
  <si>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</si>
  <si>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</si>
  <si>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</si>
  <si>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</si>
  <si>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</si>
  <si>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</si>
  <si>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</si>
  <si>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</si>
  <si>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</si>
  <si>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</si>
  <si>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</si>
  <si>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</si>
  <si>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</si>
  <si>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</si>
  <si>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</si>
  <si>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</si>
  <si>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</si>
  <si>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</si>
  <si>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</si>
  <si>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</si>
  <si>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</si>
  <si>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</si>
  <si>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</si>
  <si>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</si>
  <si>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</si>
  <si>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</si>
  <si>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</si>
  <si>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</si>
  <si>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</si>
  <si>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</si>
  <si>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</si>
  <si>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</si>
  <si>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</si>
  <si>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</si>
  <si>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</si>
  <si>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</si>
  <si>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</si>
  <si>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</si>
  <si>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</si>
  <si>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</si>
  <si>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</si>
  <si>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</si>
  <si>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</si>
  <si>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</si>
  <si>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</si>
  <si>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</si>
  <si>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</si>
  <si>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</si>
  <si>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</si>
  <si>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</si>
  <si>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</si>
  <si>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</si>
  <si>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</si>
  <si>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</si>
  <si>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</si>
  <si>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</si>
  <si>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</si>
  <si>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</si>
  <si>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</si>
  <si>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</si>
  <si>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</si>
  <si>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</si>
  <si>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</si>
  <si>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</si>
  <si>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</si>
  <si>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</si>
  <si>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</si>
  <si>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</si>
  <si>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73881/001</t>
  </si>
  <si>
    <t>COMPOSIÇÃO</t>
  </si>
  <si>
    <t>PAVIMENTAÇÃO COM LAJOTAS SEXTAVADAS</t>
  </si>
  <si>
    <t>3.0</t>
  </si>
  <si>
    <t>72961</t>
  </si>
  <si>
    <t>4.0</t>
  </si>
  <si>
    <t>5.0</t>
  </si>
  <si>
    <t>6.0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</si>
  <si>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</si>
  <si>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</si>
  <si>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>Sinalização tátil direcional 20 x 20 x 6 cm fck=35 MPa</t>
  </si>
  <si>
    <t>4.6</t>
  </si>
  <si>
    <t xml:space="preserve">PAVIMENTAÇÃO COM LAJOTAS SEXTAVADAS E DRENAGEM PLUVIAL </t>
  </si>
  <si>
    <t>NOME E Nº CREA DO RESPONSÁVEL TÉCNICO:      </t>
  </si>
  <si>
    <t>CREA:      </t>
  </si>
  <si>
    <t>PAVER</t>
  </si>
  <si>
    <t>TATIL</t>
  </si>
  <si>
    <t>BB</t>
  </si>
  <si>
    <t>Ø 60</t>
  </si>
  <si>
    <t>2.11</t>
  </si>
  <si>
    <t>2.12</t>
  </si>
  <si>
    <t>0,30 m2 x 2,00 und =</t>
  </si>
  <si>
    <t xml:space="preserve">CAJÚ - </t>
  </si>
  <si>
    <t>CL 1</t>
  </si>
  <si>
    <t>CL 2</t>
  </si>
  <si>
    <t>CL 3</t>
  </si>
  <si>
    <t>Boca de bueiro Ø 60 cm - simples</t>
  </si>
  <si>
    <t>(1.003,00 m² + 40,00 m²) x 0,05 m =</t>
  </si>
  <si>
    <t>40,00 m² x 0,07 m =</t>
  </si>
  <si>
    <t>0,60 x 0,60 m x 4,00 und =</t>
  </si>
  <si>
    <t>0,0390 m² x 4,00 und =</t>
  </si>
  <si>
    <t>12,56 m2 x 2,00 und =</t>
  </si>
  <si>
    <t>0,29 m2 x 2,00 und =</t>
  </si>
  <si>
    <t>0,36 m2 x 4,00 und =</t>
  </si>
  <si>
    <t>SERTÃOZINHO</t>
  </si>
  <si>
    <t>SINAPI - 01/01/2014 - COM DESONERAÇÃO</t>
  </si>
  <si>
    <t>SICRO</t>
  </si>
  <si>
    <t>julho de 2013</t>
  </si>
  <si>
    <t>2.13</t>
  </si>
  <si>
    <t>2.14</t>
  </si>
  <si>
    <t>2.15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</si>
  <si>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</si>
  <si>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</si>
  <si>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</si>
  <si>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</si>
  <si>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Assentamento de tubos de concreto diametro de 60 cm., armado ou simples</t>
  </si>
  <si>
    <t>Tubo de concreto armado classe - PA2 PB NBR-8890/2007 de Ø 60 cm, para águas pluviais</t>
  </si>
  <si>
    <t>1.003,00 m² + 40,00 m² =</t>
  </si>
  <si>
    <t>Material para aterro/reaterro (barro, argila ou saibro) - com transporte até 10 km</t>
  </si>
  <si>
    <t>Regularização e compactação manual de terreno com soquete</t>
  </si>
  <si>
    <t>Fevereiro/2014                  PLANILHA DE COMPOSIÇÃO DO BDI                  Folha 01/01</t>
  </si>
  <si>
    <t>Areia grossa - posto jazida</t>
  </si>
  <si>
    <t>xxxx</t>
  </si>
  <si>
    <t>Servente</t>
  </si>
  <si>
    <t>Placa de regulamentação R-1 - (Parada obrigatória)*</t>
  </si>
  <si>
    <t>Placa regulamentadora R-19- (Velocidade maxima permitida)*</t>
  </si>
  <si>
    <t>Placa de advertência A-32b - (Passagem sinalizada de pedestres)*</t>
  </si>
  <si>
    <t>Tubo de aço galvanizado c/ costura DIN 2440/NBR 5580 classe media DN 1.1/4" (32mm) e=3,25mm - 3,14kg/m</t>
  </si>
  <si>
    <t>3,10 m x 8,00 und</t>
  </si>
  <si>
    <t>6.6</t>
  </si>
  <si>
    <t xml:space="preserve">Pavimentação com lajotas sextavadas - (30 cm x 30 cm x 8 cm) - fck=35 </t>
  </si>
  <si>
    <t>* 4S 06 200 02 - 1 A 01 870 01 - R$ 328,48 - R$ 30,23 = R$ 298,25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</si>
</sst>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</cellStyleXfs>
  <cellXfs count="1222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4" applyFont="1" applyFill="1" applyBorder="1" applyAlignment="1">
      <alignment/>
    </xf>
    <xf numFmtId="171" fontId="2" fillId="0" borderId="0" xfId="64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15" fillId="0" borderId="0" xfId="64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170" fontId="94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/>
    </xf>
    <xf numFmtId="171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171" fontId="4" fillId="42" borderId="12" xfId="0" applyNumberFormat="1" applyFont="1" applyFill="1" applyBorder="1" applyAlignment="1">
      <alignment horizontal="right"/>
    </xf>
    <xf numFmtId="8" fontId="0" fillId="42" borderId="0" xfId="0" applyNumberFormat="1" applyFont="1" applyFill="1" applyAlignment="1">
      <alignment/>
    </xf>
    <xf numFmtId="43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171" fontId="4" fillId="0" borderId="12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170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170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171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5" borderId="0" xfId="52" applyFill="1" applyBorder="1">
      <alignment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5" borderId="0" xfId="52" applyFont="1" applyFill="1" applyBorder="1">
      <alignment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40" borderId="0" xfId="52" applyFont="1" applyFill="1" applyBorder="1">
      <alignment/>
      <protection/>
    </xf>
    <xf numFmtId="0" fontId="0" fillId="46" borderId="0" xfId="52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top" wrapText="1"/>
      <protection/>
    </xf>
    <xf numFmtId="179" fontId="1" fillId="33" borderId="12" xfId="52" applyNumberFormat="1" applyFont="1" applyFill="1" applyBorder="1" applyAlignment="1">
      <alignment horizontal="center" vertical="top" wrapText="1"/>
      <protection/>
    </xf>
    <xf numFmtId="176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12" xfId="52" applyNumberFormat="1" applyFont="1" applyFill="1" applyBorder="1" applyAlignment="1">
      <alignment horizontal="center" vertical="top" wrapText="1"/>
      <protection/>
    </xf>
    <xf numFmtId="39" fontId="1" fillId="33" borderId="12" xfId="52" applyNumberFormat="1" applyFont="1" applyFill="1" applyBorder="1" applyAlignment="1">
      <alignment horizontal="center" vertical="top" wrapText="1"/>
      <protection/>
    </xf>
    <xf numFmtId="2" fontId="1" fillId="33" borderId="12" xfId="52" applyNumberFormat="1" applyFont="1" applyFill="1" applyBorder="1" applyAlignment="1">
      <alignment horizontal="center" vertical="top" wrapText="1"/>
      <protection/>
    </xf>
    <xf numFmtId="175" fontId="1" fillId="33" borderId="55" xfId="52" applyNumberFormat="1" applyFont="1" applyFill="1" applyBorder="1" applyAlignment="1">
      <alignment horizontal="center" vertical="top" wrapText="1"/>
      <protection/>
    </xf>
    <xf numFmtId="172" fontId="1" fillId="33" borderId="55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0" fontId="26" fillId="0" borderId="0" xfId="52" applyFont="1" applyFill="1" applyBorder="1">
      <alignment/>
      <protection/>
    </xf>
    <xf numFmtId="0" fontId="0" fillId="33" borderId="58" xfId="52" applyFont="1" applyFill="1" applyBorder="1" applyAlignment="1">
      <alignment horizontal="left"/>
      <protection/>
    </xf>
    <xf numFmtId="0" fontId="0" fillId="33" borderId="59" xfId="52" applyFont="1" applyFill="1" applyBorder="1" applyAlignment="1">
      <alignment horizontal="left"/>
      <protection/>
    </xf>
    <xf numFmtId="0" fontId="0" fillId="33" borderId="60" xfId="52" applyFill="1" applyBorder="1" applyAlignment="1">
      <alignment horizontal="center"/>
      <protection/>
    </xf>
    <xf numFmtId="0" fontId="0" fillId="33" borderId="58" xfId="52" applyFill="1" applyBorder="1" applyAlignment="1">
      <alignment horizontal="left"/>
      <protection/>
    </xf>
    <xf numFmtId="0" fontId="0" fillId="33" borderId="59" xfId="52" applyFill="1" applyBorder="1" applyAlignment="1">
      <alignment horizontal="center"/>
      <protection/>
    </xf>
    <xf numFmtId="0" fontId="0" fillId="33" borderId="61" xfId="52" applyFill="1" applyBorder="1" applyAlignment="1">
      <alignment horizontal="center"/>
      <protection/>
    </xf>
    <xf numFmtId="0" fontId="9" fillId="33" borderId="62" xfId="52" applyFont="1" applyFill="1" applyBorder="1">
      <alignment/>
      <protection/>
    </xf>
    <xf numFmtId="0" fontId="9" fillId="33" borderId="63" xfId="52" applyNumberFormat="1" applyFont="1" applyFill="1" applyBorder="1" applyAlignment="1">
      <alignment horizontal="center"/>
      <protection/>
    </xf>
    <xf numFmtId="0" fontId="9" fillId="33" borderId="64" xfId="52" applyFont="1" applyFill="1" applyBorder="1" applyAlignment="1">
      <alignment horizontal="left"/>
      <protection/>
    </xf>
    <xf numFmtId="0" fontId="0" fillId="0" borderId="65" xfId="52" applyBorder="1">
      <alignment/>
      <protection/>
    </xf>
    <xf numFmtId="0" fontId="0" fillId="0" borderId="63" xfId="52" applyBorder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4" fillId="33" borderId="65" xfId="52" applyNumberFormat="1" applyFont="1" applyFill="1" applyBorder="1" applyAlignment="1">
      <alignment/>
      <protection/>
    </xf>
    <xf numFmtId="0" fontId="0" fillId="33" borderId="63" xfId="52" applyFill="1" applyBorder="1" applyAlignment="1">
      <alignment horizontal="right"/>
      <protection/>
    </xf>
    <xf numFmtId="173" fontId="0" fillId="33" borderId="63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50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left"/>
      <protection/>
    </xf>
    <xf numFmtId="0" fontId="0" fillId="33" borderId="66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1" xfId="52" applyFill="1" applyBorder="1" applyAlignment="1">
      <alignment horizontal="right"/>
      <protection/>
    </xf>
    <xf numFmtId="0" fontId="4" fillId="33" borderId="66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1" xfId="52" applyFill="1" applyBorder="1" applyAlignment="1">
      <alignment horizontal="left"/>
      <protection/>
    </xf>
    <xf numFmtId="0" fontId="0" fillId="33" borderId="12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67" xfId="52" applyFont="1" applyFill="1" applyBorder="1" applyAlignment="1">
      <alignment horizontal="left"/>
      <protection/>
    </xf>
    <xf numFmtId="0" fontId="0" fillId="33" borderId="68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67" xfId="52" applyFill="1" applyBorder="1" applyAlignment="1">
      <alignment horizontal="right"/>
      <protection/>
    </xf>
    <xf numFmtId="0" fontId="12" fillId="33" borderId="68" xfId="52" applyNumberFormat="1" applyFont="1" applyFill="1" applyBorder="1" applyAlignment="1">
      <alignment horizontal="right"/>
      <protection/>
    </xf>
    <xf numFmtId="0" fontId="0" fillId="33" borderId="67" xfId="52" applyFill="1" applyBorder="1" applyAlignment="1">
      <alignment horizontal="center"/>
      <protection/>
    </xf>
    <xf numFmtId="0" fontId="0" fillId="33" borderId="26" xfId="52" applyFill="1" applyBorder="1" applyAlignment="1">
      <alignment horizontal="center"/>
      <protection/>
    </xf>
    <xf numFmtId="49" fontId="0" fillId="33" borderId="42" xfId="52" applyNumberFormat="1" applyFill="1" applyBorder="1" applyAlignment="1">
      <alignment horizontal="left"/>
      <protection/>
    </xf>
    <xf numFmtId="0" fontId="0" fillId="33" borderId="69" xfId="52" applyFill="1" applyBorder="1" applyAlignment="1">
      <alignment horizontal="left"/>
      <protection/>
    </xf>
    <xf numFmtId="0" fontId="0" fillId="33" borderId="47" xfId="52" applyFill="1" applyBorder="1">
      <alignment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33" borderId="47" xfId="52" applyFill="1" applyBorder="1" applyAlignment="1">
      <alignment horizontal="left"/>
      <protection/>
    </xf>
    <xf numFmtId="0" fontId="0" fillId="33" borderId="50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52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4" xfId="52" applyNumberFormat="1" applyFont="1" applyFill="1" applyBorder="1" applyAlignment="1">
      <alignment horizontal="center"/>
      <protection/>
    </xf>
    <xf numFmtId="0" fontId="0" fillId="33" borderId="24" xfId="52" applyFill="1" applyBorder="1" applyAlignment="1">
      <alignment horizontal="right"/>
      <protection/>
    </xf>
    <xf numFmtId="173" fontId="0" fillId="33" borderId="24" xfId="52" applyNumberFormat="1" applyFill="1" applyBorder="1" applyAlignment="1">
      <alignment horizontal="center"/>
      <protection/>
    </xf>
    <xf numFmtId="0" fontId="0" fillId="33" borderId="24" xfId="52" applyFill="1" applyBorder="1" applyAlignment="1">
      <alignment horizontal="left"/>
      <protection/>
    </xf>
    <xf numFmtId="0" fontId="0" fillId="33" borderId="24" xfId="52" applyFill="1" applyBorder="1" applyAlignment="1">
      <alignment/>
      <protection/>
    </xf>
    <xf numFmtId="0" fontId="0" fillId="33" borderId="49" xfId="52" applyFill="1" applyBorder="1" applyAlignment="1">
      <alignment/>
      <protection/>
    </xf>
    <xf numFmtId="0" fontId="4" fillId="42" borderId="12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171" fontId="4" fillId="42" borderId="23" xfId="0" applyNumberFormat="1" applyFont="1" applyFill="1" applyBorder="1" applyAlignment="1">
      <alignment horizontal="center"/>
    </xf>
    <xf numFmtId="0" fontId="9" fillId="33" borderId="0" xfId="52" applyFont="1" applyFill="1">
      <alignment/>
      <protection/>
    </xf>
    <xf numFmtId="0" fontId="41" fillId="33" borderId="0" xfId="52" applyFont="1" applyFill="1">
      <alignment/>
      <protection/>
    </xf>
    <xf numFmtId="0" fontId="0" fillId="42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174" fontId="0" fillId="33" borderId="63" xfId="52" applyNumberFormat="1" applyFill="1" applyBorder="1" applyAlignment="1">
      <alignment horizontal="center" vertical="center"/>
      <protection/>
    </xf>
    <xf numFmtId="0" fontId="0" fillId="33" borderId="63" xfId="52" applyFill="1" applyBorder="1" applyAlignment="1">
      <alignment horizontal="center" vertical="center"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4" fontId="0" fillId="33" borderId="64" xfId="52" applyNumberFormat="1" applyFill="1" applyBorder="1" applyAlignment="1">
      <alignment horizontal="center" vertical="center"/>
      <protection/>
    </xf>
    <xf numFmtId="0" fontId="0" fillId="33" borderId="66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left" vertical="center" wrapText="1"/>
      <protection/>
    </xf>
    <xf numFmtId="174" fontId="0" fillId="33" borderId="0" xfId="52" applyNumberForma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0" xfId="52" applyNumberFormat="1" applyFont="1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 vertical="center"/>
      <protection/>
    </xf>
    <xf numFmtId="0" fontId="0" fillId="33" borderId="66" xfId="52" applyFill="1" applyBorder="1" applyAlignment="1">
      <alignment horizontal="center" vertical="center"/>
      <protection/>
    </xf>
    <xf numFmtId="174" fontId="0" fillId="33" borderId="0" xfId="52" applyNumberFormat="1" applyFont="1" applyFill="1" applyBorder="1" applyAlignment="1">
      <alignment horizontal="center" vertical="center"/>
      <protection/>
    </xf>
    <xf numFmtId="0" fontId="0" fillId="42" borderId="66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left"/>
      <protection/>
    </xf>
    <xf numFmtId="174" fontId="0" fillId="33" borderId="0" xfId="52" applyNumberFormat="1" applyFill="1" applyBorder="1" applyAlignment="1">
      <alignment horizontal="center"/>
      <protection/>
    </xf>
    <xf numFmtId="4" fontId="0" fillId="33" borderId="51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 wrapText="1"/>
      <protection/>
    </xf>
    <xf numFmtId="174" fontId="0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4" fontId="0" fillId="33" borderId="51" xfId="52" applyNumberFormat="1" applyFont="1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0" fillId="33" borderId="70" xfId="52" applyFill="1" applyBorder="1" applyAlignment="1">
      <alignment horizontal="center"/>
      <protection/>
    </xf>
    <xf numFmtId="174" fontId="0" fillId="33" borderId="70" xfId="52" applyNumberFormat="1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71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13" fillId="33" borderId="65" xfId="52" applyFont="1" applyFill="1" applyBorder="1" applyAlignment="1">
      <alignment horizontal="center" vertical="center"/>
      <protection/>
    </xf>
    <xf numFmtId="0" fontId="0" fillId="33" borderId="63" xfId="52" applyFont="1" applyFill="1" applyBorder="1" applyAlignment="1">
      <alignment vertical="center" wrapText="1"/>
      <protection/>
    </xf>
    <xf numFmtId="0" fontId="0" fillId="33" borderId="63" xfId="52" applyFont="1" applyFill="1" applyBorder="1" applyAlignment="1">
      <alignment horizontal="center" vertical="center"/>
      <protection/>
    </xf>
    <xf numFmtId="4" fontId="0" fillId="33" borderId="64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65" xfId="52" applyFill="1" applyBorder="1" applyAlignment="1">
      <alignment horizontal="center" vertical="top"/>
      <protection/>
    </xf>
    <xf numFmtId="0" fontId="0" fillId="33" borderId="63" xfId="52" applyFill="1" applyBorder="1" applyAlignment="1">
      <alignment vertical="top" wrapText="1"/>
      <protection/>
    </xf>
    <xf numFmtId="4" fontId="0" fillId="33" borderId="63" xfId="52" applyNumberFormat="1" applyFill="1" applyBorder="1" applyAlignment="1">
      <alignment horizontal="center"/>
      <protection/>
    </xf>
    <xf numFmtId="0" fontId="0" fillId="33" borderId="63" xfId="52" applyFill="1" applyBorder="1" applyAlignment="1">
      <alignment horizontal="center"/>
      <protection/>
    </xf>
    <xf numFmtId="0" fontId="0" fillId="33" borderId="63" xfId="52" applyNumberFormat="1" applyFont="1" applyFill="1" applyBorder="1" applyAlignment="1">
      <alignment horizontal="center"/>
      <protection/>
    </xf>
    <xf numFmtId="4" fontId="0" fillId="33" borderId="64" xfId="52" applyNumberFormat="1" applyFill="1" applyBorder="1" applyAlignment="1">
      <alignment horizontal="center"/>
      <protection/>
    </xf>
    <xf numFmtId="0" fontId="0" fillId="33" borderId="66" xfId="52" applyFill="1" applyBorder="1" applyAlignment="1">
      <alignment horizontal="center" vertical="top"/>
      <protection/>
    </xf>
    <xf numFmtId="0" fontId="0" fillId="33" borderId="0" xfId="52" applyFill="1" applyBorder="1" applyAlignment="1">
      <alignment vertical="top" wrapText="1"/>
      <protection/>
    </xf>
    <xf numFmtId="0" fontId="0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5" xfId="52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left" vertical="center" wrapText="1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 vertical="center"/>
      <protection/>
    </xf>
    <xf numFmtId="4" fontId="0" fillId="33" borderId="71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72" xfId="0" applyNumberFormat="1" applyFont="1" applyFill="1" applyBorder="1" applyAlignment="1">
      <alignment horizontal="right"/>
    </xf>
    <xf numFmtId="10" fontId="9" fillId="42" borderId="69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171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1" fontId="4" fillId="42" borderId="28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17" fillId="42" borderId="44" xfId="53" applyNumberFormat="1" applyFill="1" applyBorder="1">
      <alignment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7" applyNumberFormat="1" applyFont="1" applyBorder="1" applyAlignment="1">
      <alignment horizontal="right" wrapText="1"/>
    </xf>
    <xf numFmtId="39" fontId="52" fillId="47" borderId="12" xfId="67" applyNumberFormat="1" applyFont="1" applyFill="1" applyBorder="1" applyAlignment="1">
      <alignment horizontal="right" wrapText="1"/>
    </xf>
    <xf numFmtId="39" fontId="52" fillId="47" borderId="26" xfId="0" applyNumberFormat="1" applyFont="1" applyFill="1" applyBorder="1" applyAlignment="1">
      <alignment horizontal="right" vertical="center" wrapText="1"/>
    </xf>
    <xf numFmtId="39" fontId="52" fillId="47" borderId="26" xfId="0" applyNumberFormat="1" applyFont="1" applyFill="1" applyBorder="1" applyAlignment="1">
      <alignment horizontal="center" vertical="center" wrapText="1"/>
    </xf>
    <xf numFmtId="39" fontId="52" fillId="47" borderId="26" xfId="67" applyNumberFormat="1" applyFont="1" applyFill="1" applyBorder="1" applyAlignment="1">
      <alignment horizontal="right" wrapText="1"/>
    </xf>
    <xf numFmtId="39" fontId="52" fillId="47" borderId="27" xfId="67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0" fillId="47" borderId="73" xfId="0" applyFont="1" applyFill="1" applyBorder="1" applyAlignment="1">
      <alignment vertical="center"/>
    </xf>
    <xf numFmtId="0" fontId="0" fillId="47" borderId="41" xfId="0" applyFont="1" applyFill="1" applyBorder="1" applyAlignment="1">
      <alignment vertical="center"/>
    </xf>
    <xf numFmtId="0" fontId="0" fillId="48" borderId="36" xfId="0" applyFill="1" applyBorder="1" applyAlignment="1">
      <alignment/>
    </xf>
    <xf numFmtId="0" fontId="0" fillId="48" borderId="12" xfId="0" applyFill="1" applyBorder="1" applyAlignment="1">
      <alignment horizontal="justify" vertical="top" wrapText="1"/>
    </xf>
    <xf numFmtId="0" fontId="0" fillId="48" borderId="12" xfId="0" applyFill="1" applyBorder="1" applyAlignment="1">
      <alignment horizontal="center"/>
    </xf>
    <xf numFmtId="171" fontId="0" fillId="48" borderId="12" xfId="67" applyFont="1" applyFill="1" applyBorder="1" applyAlignment="1" quotePrefix="1">
      <alignment horizontal="center"/>
    </xf>
    <xf numFmtId="170" fontId="0" fillId="48" borderId="12" xfId="50" applyFont="1" applyFill="1" applyBorder="1" applyAlignment="1">
      <alignment horizontal="center"/>
    </xf>
    <xf numFmtId="170" fontId="0" fillId="0" borderId="12" xfId="50" applyFont="1" applyBorder="1" applyAlignment="1">
      <alignment horizontal="center"/>
    </xf>
    <xf numFmtId="171" fontId="0" fillId="49" borderId="12" xfId="67" applyFont="1" applyFill="1" applyBorder="1" applyAlignment="1">
      <alignment/>
    </xf>
    <xf numFmtId="10" fontId="0" fillId="0" borderId="12" xfId="67" applyNumberFormat="1" applyFont="1" applyBorder="1" applyAlignment="1">
      <alignment/>
    </xf>
    <xf numFmtId="170" fontId="0" fillId="0" borderId="12" xfId="50" applyFont="1" applyBorder="1" applyAlignment="1">
      <alignment/>
    </xf>
    <xf numFmtId="2" fontId="0" fillId="49" borderId="41" xfId="67" applyNumberFormat="1" applyFont="1" applyFill="1" applyBorder="1" applyAlignment="1">
      <alignment horizontal="center"/>
    </xf>
    <xf numFmtId="10" fontId="0" fillId="0" borderId="41" xfId="67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0" fontId="0" fillId="0" borderId="30" xfId="50" applyFont="1" applyBorder="1" applyAlignment="1">
      <alignment/>
    </xf>
    <xf numFmtId="171" fontId="0" fillId="49" borderId="12" xfId="67" applyFont="1" applyFill="1" applyBorder="1" applyAlignment="1">
      <alignment horizontal="center"/>
    </xf>
    <xf numFmtId="0" fontId="24" fillId="49" borderId="12" xfId="0" applyFont="1" applyFill="1" applyBorder="1" applyAlignment="1">
      <alignment horizontal="center"/>
    </xf>
    <xf numFmtId="2" fontId="24" fillId="49" borderId="12" xfId="0" applyNumberFormat="1" applyFont="1" applyFill="1" applyBorder="1" applyAlignment="1">
      <alignment horizontal="center"/>
    </xf>
    <xf numFmtId="0" fontId="24" fillId="48" borderId="36" xfId="0" applyFont="1" applyFill="1" applyBorder="1" applyAlignment="1">
      <alignment/>
    </xf>
    <xf numFmtId="0" fontId="24" fillId="48" borderId="12" xfId="0" applyFont="1" applyFill="1" applyBorder="1" applyAlignment="1">
      <alignment vertical="top" wrapText="1"/>
    </xf>
    <xf numFmtId="0" fontId="24" fillId="48" borderId="12" xfId="0" applyFont="1" applyFill="1" applyBorder="1" applyAlignment="1">
      <alignment horizontal="center"/>
    </xf>
    <xf numFmtId="0" fontId="36" fillId="48" borderId="12" xfId="0" applyFont="1" applyFill="1" applyBorder="1" applyAlignment="1">
      <alignment horizontal="center" vertical="center"/>
    </xf>
    <xf numFmtId="0" fontId="36" fillId="48" borderId="12" xfId="0" applyFont="1" applyFill="1" applyBorder="1" applyAlignment="1">
      <alignment horizontal="center" vertical="center" wrapText="1"/>
    </xf>
    <xf numFmtId="170" fontId="2" fillId="47" borderId="12" xfId="50" applyFont="1" applyFill="1" applyBorder="1" applyAlignment="1">
      <alignment horizontal="center"/>
    </xf>
    <xf numFmtId="170" fontId="2" fillId="47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4" fontId="9" fillId="0" borderId="75" xfId="0" applyNumberFormat="1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77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8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57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58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6" fontId="48" fillId="0" borderId="42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5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5" xfId="0" applyFont="1" applyBorder="1" applyAlignment="1">
      <alignment vertical="top" wrapText="1"/>
    </xf>
    <xf numFmtId="0" fontId="51" fillId="0" borderId="79" xfId="0" applyFont="1" applyBorder="1" applyAlignment="1">
      <alignment vertical="top" wrapText="1"/>
    </xf>
    <xf numFmtId="171" fontId="4" fillId="42" borderId="37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right"/>
    </xf>
    <xf numFmtId="49" fontId="2" fillId="42" borderId="57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right"/>
    </xf>
    <xf numFmtId="186" fontId="48" fillId="0" borderId="38" xfId="0" applyNumberFormat="1" applyFont="1" applyBorder="1" applyAlignment="1">
      <alignment horizontal="right" wrapText="1"/>
    </xf>
    <xf numFmtId="0" fontId="48" fillId="0" borderId="80" xfId="0" applyFont="1" applyBorder="1" applyAlignment="1">
      <alignment horizontal="justify" vertical="top" wrapText="1"/>
    </xf>
    <xf numFmtId="2" fontId="48" fillId="0" borderId="81" xfId="0" applyNumberFormat="1" applyFont="1" applyBorder="1" applyAlignment="1">
      <alignment horizontal="center" vertical="top"/>
    </xf>
    <xf numFmtId="2" fontId="48" fillId="0" borderId="80" xfId="0" applyNumberFormat="1" applyFont="1" applyBorder="1" applyAlignment="1">
      <alignment horizontal="center" vertical="top"/>
    </xf>
    <xf numFmtId="0" fontId="48" fillId="0" borderId="80" xfId="0" applyNumberFormat="1" applyFont="1" applyBorder="1" applyAlignment="1">
      <alignment horizontal="center" wrapText="1"/>
    </xf>
    <xf numFmtId="4" fontId="48" fillId="0" borderId="80" xfId="0" applyNumberFormat="1" applyFont="1" applyBorder="1" applyAlignment="1">
      <alignment horizontal="right" wrapText="1"/>
    </xf>
    <xf numFmtId="10" fontId="48" fillId="0" borderId="80" xfId="0" applyNumberFormat="1" applyFont="1" applyBorder="1" applyAlignment="1">
      <alignment horizontal="right" wrapText="1"/>
    </xf>
    <xf numFmtId="186" fontId="48" fillId="0" borderId="68" xfId="0" applyNumberFormat="1" applyFont="1" applyBorder="1" applyAlignment="1">
      <alignment horizontal="right" wrapText="1"/>
    </xf>
    <xf numFmtId="184" fontId="48" fillId="0" borderId="11" xfId="0" applyNumberFormat="1" applyFont="1" applyBorder="1" applyAlignment="1">
      <alignment horizontal="right" wrapText="1"/>
    </xf>
    <xf numFmtId="0" fontId="47" fillId="0" borderId="65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47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44" fillId="47" borderId="38" xfId="0" applyFont="1" applyFill="1" applyBorder="1" applyAlignment="1">
      <alignment horizontal="center" vertical="top" wrapText="1"/>
    </xf>
    <xf numFmtId="0" fontId="44" fillId="47" borderId="40" xfId="0" applyFont="1" applyFill="1" applyBorder="1" applyAlignment="1">
      <alignment horizontal="center" vertical="top" wrapText="1"/>
    </xf>
    <xf numFmtId="39" fontId="52" fillId="0" borderId="26" xfId="67" applyNumberFormat="1" applyFont="1" applyBorder="1" applyAlignment="1">
      <alignment horizontal="right" wrapText="1"/>
    </xf>
    <xf numFmtId="37" fontId="52" fillId="0" borderId="26" xfId="67" applyNumberFormat="1" applyFont="1" applyBorder="1" applyAlignment="1">
      <alignment horizontal="center" wrapText="1"/>
    </xf>
    <xf numFmtId="171" fontId="52" fillId="0" borderId="26" xfId="67" applyNumberFormat="1" applyFont="1" applyBorder="1" applyAlignment="1">
      <alignment horizontal="center" wrapText="1"/>
    </xf>
    <xf numFmtId="39" fontId="52" fillId="0" borderId="38" xfId="67" applyNumberFormat="1" applyFont="1" applyBorder="1" applyAlignment="1">
      <alignment horizontal="right" wrapText="1"/>
    </xf>
    <xf numFmtId="37" fontId="52" fillId="0" borderId="38" xfId="67" applyNumberFormat="1" applyFont="1" applyBorder="1" applyAlignment="1">
      <alignment horizontal="center" wrapText="1"/>
    </xf>
    <xf numFmtId="171" fontId="52" fillId="0" borderId="38" xfId="67" applyNumberFormat="1" applyFont="1" applyBorder="1" applyAlignment="1">
      <alignment horizontal="center" wrapText="1"/>
    </xf>
    <xf numFmtId="39" fontId="52" fillId="47" borderId="40" xfId="67" applyNumberFormat="1" applyFont="1" applyFill="1" applyBorder="1" applyAlignment="1">
      <alignment horizontal="right" wrapText="1"/>
    </xf>
    <xf numFmtId="39" fontId="52" fillId="47" borderId="38" xfId="67" applyNumberFormat="1" applyFont="1" applyFill="1" applyBorder="1" applyAlignment="1">
      <alignment horizontal="right" wrapText="1"/>
    </xf>
    <xf numFmtId="39" fontId="52" fillId="47" borderId="55" xfId="0" applyNumberFormat="1" applyFont="1" applyFill="1" applyBorder="1" applyAlignment="1">
      <alignment horizontal="right" vertical="center" wrapText="1"/>
    </xf>
    <xf numFmtId="39" fontId="52" fillId="47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171" fontId="4" fillId="42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42" borderId="0" xfId="0" applyNumberFormat="1" applyFill="1" applyAlignment="1">
      <alignment/>
    </xf>
    <xf numFmtId="181" fontId="0" fillId="33" borderId="0" xfId="52" applyNumberFormat="1" applyFont="1" applyFill="1" applyAlignment="1">
      <alignment horizontal="center"/>
      <protection/>
    </xf>
    <xf numFmtId="0" fontId="0" fillId="42" borderId="55" xfId="0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right"/>
    </xf>
    <xf numFmtId="39" fontId="60" fillId="47" borderId="28" xfId="67" applyNumberFormat="1" applyFont="1" applyFill="1" applyBorder="1" applyAlignment="1">
      <alignment horizontal="right" wrapText="1"/>
    </xf>
    <xf numFmtId="39" fontId="60" fillId="47" borderId="55" xfId="67" applyNumberFormat="1" applyFont="1" applyFill="1" applyBorder="1" applyAlignment="1">
      <alignment horizontal="right" wrapText="1"/>
    </xf>
    <xf numFmtId="10" fontId="60" fillId="47" borderId="29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wrapText="1"/>
    </xf>
    <xf numFmtId="9" fontId="52" fillId="0" borderId="12" xfId="67" applyNumberFormat="1" applyFont="1" applyBorder="1" applyAlignment="1">
      <alignment horizontal="center" wrapText="1"/>
    </xf>
    <xf numFmtId="10" fontId="60" fillId="47" borderId="56" xfId="67" applyNumberFormat="1" applyFont="1" applyFill="1" applyBorder="1" applyAlignment="1">
      <alignment horizontal="right" vertical="center" wrapText="1"/>
    </xf>
    <xf numFmtId="10" fontId="52" fillId="47" borderId="30" xfId="67" applyNumberFormat="1" applyFont="1" applyFill="1" applyBorder="1" applyAlignment="1">
      <alignment horizontal="right" vertical="center" wrapText="1"/>
    </xf>
    <xf numFmtId="10" fontId="52" fillId="47" borderId="56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vertical="center" wrapText="1"/>
    </xf>
    <xf numFmtId="39" fontId="60" fillId="0" borderId="28" xfId="67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7" borderId="0" xfId="0" applyFont="1" applyFill="1" applyBorder="1" applyAlignment="1">
      <alignment horizontal="center" vertical="top" wrapText="1"/>
    </xf>
    <xf numFmtId="0" fontId="44" fillId="47" borderId="51" xfId="0" applyFont="1" applyFill="1" applyBorder="1" applyAlignment="1">
      <alignment horizontal="center" vertical="top" wrapText="1"/>
    </xf>
    <xf numFmtId="39" fontId="52" fillId="47" borderId="66" xfId="0" applyNumberFormat="1" applyFont="1" applyFill="1" applyBorder="1" applyAlignment="1">
      <alignment horizontal="right" vertical="center" wrapText="1"/>
    </xf>
    <xf numFmtId="39" fontId="52" fillId="47" borderId="0" xfId="0" applyNumberFormat="1" applyFont="1" applyFill="1" applyBorder="1" applyAlignment="1">
      <alignment horizontal="center" vertical="center" wrapText="1"/>
    </xf>
    <xf numFmtId="39" fontId="52" fillId="47" borderId="0" xfId="0" applyNumberFormat="1" applyFont="1" applyFill="1" applyBorder="1" applyAlignment="1">
      <alignment horizontal="right" vertical="center" wrapText="1"/>
    </xf>
    <xf numFmtId="39" fontId="52" fillId="47" borderId="51" xfId="0" applyNumberFormat="1" applyFont="1" applyFill="1" applyBorder="1" applyAlignment="1">
      <alignment horizontal="right" vertical="center" wrapText="1"/>
    </xf>
    <xf numFmtId="39" fontId="52" fillId="47" borderId="66" xfId="0" applyNumberFormat="1" applyFont="1" applyFill="1" applyBorder="1" applyAlignment="1">
      <alignment horizontal="center" vertical="center" wrapText="1"/>
    </xf>
    <xf numFmtId="39" fontId="52" fillId="47" borderId="0" xfId="67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171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4" fontId="94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0" fontId="0" fillId="42" borderId="36" xfId="52" applyFont="1" applyFill="1" applyBorder="1" applyAlignment="1">
      <alignment horizont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94" fillId="33" borderId="12" xfId="52" applyNumberFormat="1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 wrapText="1"/>
      <protection/>
    </xf>
    <xf numFmtId="0" fontId="0" fillId="33" borderId="36" xfId="52" applyFill="1" applyBorder="1" applyAlignment="1">
      <alignment horizontal="center"/>
      <protection/>
    </xf>
    <xf numFmtId="174" fontId="0" fillId="33" borderId="12" xfId="52" applyNumberFormat="1" applyFont="1" applyFill="1" applyBorder="1" applyAlignment="1">
      <alignment horizontal="center"/>
      <protection/>
    </xf>
    <xf numFmtId="4" fontId="0" fillId="33" borderId="0" xfId="52" applyNumberFormat="1" applyFont="1" applyFill="1" applyBorder="1" applyAlignment="1">
      <alignment horizontal="center"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9" fontId="95" fillId="42" borderId="57" xfId="52" applyNumberFormat="1" applyFont="1" applyFill="1" applyBorder="1" applyAlignment="1">
      <alignment horizontal="center" vertical="top" wrapText="1"/>
      <protection/>
    </xf>
    <xf numFmtId="179" fontId="95" fillId="42" borderId="12" xfId="52" applyNumberFormat="1" applyFont="1" applyFill="1" applyBorder="1" applyAlignment="1">
      <alignment horizontal="center" vertical="top" wrapText="1"/>
      <protection/>
    </xf>
    <xf numFmtId="176" fontId="95" fillId="42" borderId="12" xfId="52" applyNumberFormat="1" applyFont="1" applyFill="1" applyBorder="1" applyAlignment="1">
      <alignment horizontal="center" vertical="top" wrapText="1"/>
      <protection/>
    </xf>
    <xf numFmtId="173" fontId="95" fillId="42" borderId="12" xfId="52" applyNumberFormat="1" applyFont="1" applyFill="1" applyBorder="1" applyAlignment="1">
      <alignment horizontal="center" vertical="top" wrapText="1"/>
      <protection/>
    </xf>
    <xf numFmtId="39" fontId="95" fillId="42" borderId="12" xfId="52" applyNumberFormat="1" applyFont="1" applyFill="1" applyBorder="1" applyAlignment="1">
      <alignment horizontal="center" vertical="top" wrapText="1"/>
      <protection/>
    </xf>
    <xf numFmtId="2" fontId="95" fillId="42" borderId="12" xfId="52" applyNumberFormat="1" applyFont="1" applyFill="1" applyBorder="1" applyAlignment="1">
      <alignment horizontal="center" vertical="top" wrapText="1"/>
      <protection/>
    </xf>
    <xf numFmtId="175" fontId="1" fillId="42" borderId="55" xfId="52" applyNumberFormat="1" applyFont="1" applyFill="1" applyBorder="1" applyAlignment="1">
      <alignment horizontal="center" vertical="top" wrapText="1"/>
      <protection/>
    </xf>
    <xf numFmtId="172" fontId="1" fillId="42" borderId="55" xfId="52" applyNumberFormat="1" applyFont="1" applyFill="1" applyBorder="1" applyAlignment="1">
      <alignment horizontal="center" vertical="top" wrapText="1"/>
      <protection/>
    </xf>
    <xf numFmtId="179" fontId="1" fillId="42" borderId="57" xfId="52" applyNumberFormat="1" applyFont="1" applyFill="1" applyBorder="1" applyAlignment="1">
      <alignment horizontal="center" vertical="top" wrapText="1"/>
      <protection/>
    </xf>
    <xf numFmtId="179" fontId="1" fillId="42" borderId="12" xfId="52" applyNumberFormat="1" applyFont="1" applyFill="1" applyBorder="1" applyAlignment="1">
      <alignment horizontal="center" vertical="top" wrapText="1"/>
      <protection/>
    </xf>
    <xf numFmtId="176" fontId="1" fillId="42" borderId="12" xfId="52" applyNumberFormat="1" applyFont="1" applyFill="1" applyBorder="1" applyAlignment="1">
      <alignment horizontal="center" vertical="top" wrapText="1"/>
      <protection/>
    </xf>
    <xf numFmtId="173" fontId="1" fillId="42" borderId="12" xfId="52" applyNumberFormat="1" applyFont="1" applyFill="1" applyBorder="1" applyAlignment="1">
      <alignment horizontal="center" vertical="top" wrapText="1"/>
      <protection/>
    </xf>
    <xf numFmtId="39" fontId="1" fillId="42" borderId="12" xfId="52" applyNumberFormat="1" applyFont="1" applyFill="1" applyBorder="1" applyAlignment="1">
      <alignment horizontal="center" vertical="top" wrapText="1"/>
      <protection/>
    </xf>
    <xf numFmtId="2" fontId="1" fillId="42" borderId="12" xfId="52" applyNumberFormat="1" applyFont="1" applyFill="1" applyBorder="1" applyAlignment="1">
      <alignment horizontal="center" vertical="top" wrapText="1"/>
      <protection/>
    </xf>
    <xf numFmtId="0" fontId="48" fillId="42" borderId="12" xfId="0" applyFont="1" applyFill="1" applyBorder="1" applyAlignment="1">
      <alignment horizontal="center" vertical="top" wrapText="1"/>
    </xf>
    <xf numFmtId="0" fontId="48" fillId="42" borderId="12" xfId="0" applyFont="1" applyFill="1" applyBorder="1" applyAlignment="1">
      <alignment horizontal="justify" vertical="top" wrapText="1"/>
    </xf>
    <xf numFmtId="0" fontId="48" fillId="42" borderId="12" xfId="0" applyNumberFormat="1" applyFont="1" applyFill="1" applyBorder="1" applyAlignment="1">
      <alignment horizontal="center" wrapText="1"/>
    </xf>
    <xf numFmtId="4" fontId="48" fillId="42" borderId="12" xfId="0" applyNumberFormat="1" applyFont="1" applyFill="1" applyBorder="1" applyAlignment="1">
      <alignment horizontal="right" wrapText="1"/>
    </xf>
    <xf numFmtId="10" fontId="48" fillId="42" borderId="12" xfId="0" applyNumberFormat="1" applyFont="1" applyFill="1" applyBorder="1" applyAlignment="1">
      <alignment horizontal="right" wrapText="1"/>
    </xf>
    <xf numFmtId="186" fontId="48" fillId="42" borderId="12" xfId="0" applyNumberFormat="1" applyFont="1" applyFill="1" applyBorder="1" applyAlignment="1">
      <alignment horizontal="right" wrapText="1"/>
    </xf>
    <xf numFmtId="184" fontId="48" fillId="42" borderId="30" xfId="0" applyNumberFormat="1" applyFont="1" applyFill="1" applyBorder="1" applyAlignment="1">
      <alignment horizontal="right" wrapText="1"/>
    </xf>
    <xf numFmtId="2" fontId="9" fillId="33" borderId="0" xfId="52" applyNumberFormat="1" applyFont="1" applyFill="1" applyBorder="1">
      <alignment/>
      <protection/>
    </xf>
    <xf numFmtId="184" fontId="49" fillId="0" borderId="27" xfId="0" applyNumberFormat="1" applyFont="1" applyBorder="1" applyAlignment="1">
      <alignment horizontal="right" vertical="center" wrapText="1"/>
    </xf>
    <xf numFmtId="179" fontId="1" fillId="42" borderId="57" xfId="0" applyNumberFormat="1" applyFont="1" applyFill="1" applyBorder="1" applyAlignment="1">
      <alignment horizontal="center" vertical="top" wrapText="1"/>
    </xf>
    <xf numFmtId="179" fontId="1" fillId="42" borderId="12" xfId="0" applyNumberFormat="1" applyFont="1" applyFill="1" applyBorder="1" applyAlignment="1">
      <alignment horizontal="center" vertical="top" wrapText="1"/>
    </xf>
    <xf numFmtId="176" fontId="1" fillId="42" borderId="12" xfId="0" applyNumberFormat="1" applyFont="1" applyFill="1" applyBorder="1" applyAlignment="1">
      <alignment horizontal="center" vertical="top" wrapText="1"/>
    </xf>
    <xf numFmtId="173" fontId="1" fillId="42" borderId="12" xfId="0" applyNumberFormat="1" applyFont="1" applyFill="1" applyBorder="1" applyAlignment="1">
      <alignment horizontal="center" vertical="top" wrapText="1"/>
    </xf>
    <xf numFmtId="39" fontId="1" fillId="42" borderId="12" xfId="0" applyNumberFormat="1" applyFont="1" applyFill="1" applyBorder="1" applyAlignment="1">
      <alignment horizontal="center" vertical="top" wrapText="1"/>
    </xf>
    <xf numFmtId="2" fontId="1" fillId="42" borderId="12" xfId="0" applyNumberFormat="1" applyFont="1" applyFill="1" applyBorder="1" applyAlignment="1">
      <alignment horizontal="center" vertical="top" wrapText="1"/>
    </xf>
    <xf numFmtId="171" fontId="4" fillId="42" borderId="12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0" fontId="9" fillId="33" borderId="17" xfId="52" applyFont="1" applyFill="1" applyBorder="1">
      <alignment/>
      <protection/>
    </xf>
    <xf numFmtId="0" fontId="0" fillId="42" borderId="50" xfId="52" applyFont="1" applyFill="1" applyBorder="1">
      <alignment/>
      <protection/>
    </xf>
    <xf numFmtId="0" fontId="0" fillId="42" borderId="0" xfId="52" applyFont="1" applyFill="1" applyBorder="1">
      <alignment/>
      <protection/>
    </xf>
    <xf numFmtId="17" fontId="0" fillId="33" borderId="52" xfId="52" applyNumberFormat="1" applyFill="1" applyBorder="1" applyAlignment="1">
      <alignment horizontal="center"/>
      <protection/>
    </xf>
    <xf numFmtId="0" fontId="0" fillId="33" borderId="52" xfId="52" applyFill="1" applyBorder="1">
      <alignment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181" fontId="0" fillId="33" borderId="52" xfId="52" applyNumberFormat="1" applyFont="1" applyFill="1" applyBorder="1" applyAlignment="1">
      <alignment horizontal="center"/>
      <protection/>
    </xf>
    <xf numFmtId="0" fontId="0" fillId="33" borderId="57" xfId="52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4" fontId="0" fillId="33" borderId="79" xfId="52" applyNumberFormat="1" applyFon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73" xfId="52" applyFill="1" applyBorder="1" applyAlignment="1">
      <alignment horizontal="center"/>
      <protection/>
    </xf>
    <xf numFmtId="4" fontId="0" fillId="33" borderId="82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/>
      <protection/>
    </xf>
    <xf numFmtId="4" fontId="0" fillId="33" borderId="12" xfId="52" applyNumberFormat="1" applyFill="1" applyBorder="1" applyAlignment="1">
      <alignment horizontal="center" vertical="center"/>
      <protection/>
    </xf>
    <xf numFmtId="4" fontId="0" fillId="33" borderId="27" xfId="52" applyNumberFormat="1" applyFill="1" applyBorder="1" applyAlignment="1">
      <alignment horizontal="center"/>
      <protection/>
    </xf>
    <xf numFmtId="9" fontId="52" fillId="0" borderId="38" xfId="67" applyNumberFormat="1" applyFont="1" applyBorder="1" applyAlignment="1">
      <alignment horizontal="center" wrapText="1"/>
    </xf>
    <xf numFmtId="10" fontId="52" fillId="47" borderId="40" xfId="67" applyNumberFormat="1" applyFont="1" applyFill="1" applyBorder="1" applyAlignment="1">
      <alignment horizontal="right" vertical="center" wrapText="1"/>
    </xf>
    <xf numFmtId="2" fontId="48" fillId="0" borderId="62" xfId="0" applyNumberFormat="1" applyFont="1" applyBorder="1" applyAlignment="1">
      <alignment horizontal="center" vertical="top"/>
    </xf>
    <xf numFmtId="0" fontId="48" fillId="0" borderId="63" xfId="0" applyNumberFormat="1" applyFont="1" applyBorder="1" applyAlignment="1">
      <alignment horizontal="center" wrapText="1"/>
    </xf>
    <xf numFmtId="4" fontId="48" fillId="0" borderId="63" xfId="0" applyNumberFormat="1" applyFont="1" applyBorder="1" applyAlignment="1">
      <alignment horizontal="right" wrapText="1"/>
    </xf>
    <xf numFmtId="10" fontId="48" fillId="0" borderId="63" xfId="0" applyNumberFormat="1" applyFont="1" applyBorder="1" applyAlignment="1">
      <alignment horizontal="right" wrapText="1"/>
    </xf>
    <xf numFmtId="186" fontId="48" fillId="0" borderId="63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6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10" fillId="0" borderId="42" xfId="52" applyNumberFormat="1" applyFont="1" applyFill="1" applyBorder="1" applyAlignment="1">
      <alignment horizontal="center" vertical="center" wrapText="1"/>
      <protection/>
    </xf>
    <xf numFmtId="0" fontId="10" fillId="0" borderId="47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0" fontId="0" fillId="33" borderId="50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49" fontId="0" fillId="33" borderId="41" xfId="52" applyNumberFormat="1" applyFill="1" applyBorder="1" applyAlignment="1">
      <alignment horizontal="left"/>
      <protection/>
    </xf>
    <xf numFmtId="49" fontId="0" fillId="33" borderId="83" xfId="52" applyNumberFormat="1" applyFill="1" applyBorder="1" applyAlignment="1">
      <alignment horizontal="left"/>
      <protection/>
    </xf>
    <xf numFmtId="0" fontId="0" fillId="33" borderId="53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175" fontId="1" fillId="33" borderId="84" xfId="52" applyNumberFormat="1" applyFont="1" applyFill="1" applyBorder="1" applyAlignment="1">
      <alignment horizontal="center" vertical="top" wrapText="1"/>
      <protection/>
    </xf>
    <xf numFmtId="175" fontId="1" fillId="33" borderId="59" xfId="52" applyNumberFormat="1" applyFont="1" applyFill="1" applyBorder="1" applyAlignment="1">
      <alignment horizontal="center" vertical="top" wrapText="1"/>
      <protection/>
    </xf>
    <xf numFmtId="175" fontId="1" fillId="33" borderId="61" xfId="52" applyNumberFormat="1" applyFont="1" applyFill="1" applyBorder="1" applyAlignment="1">
      <alignment horizontal="center" vertical="top" wrapText="1"/>
      <protection/>
    </xf>
    <xf numFmtId="0" fontId="0" fillId="33" borderId="84" xfId="52" applyFont="1" applyFill="1" applyBorder="1" applyAlignment="1">
      <alignment horizontal="left"/>
      <protection/>
    </xf>
    <xf numFmtId="0" fontId="0" fillId="33" borderId="59" xfId="52" applyFill="1" applyBorder="1" applyAlignment="1">
      <alignment horizontal="left"/>
      <protection/>
    </xf>
    <xf numFmtId="0" fontId="0" fillId="33" borderId="60" xfId="52" applyFill="1" applyBorder="1" applyAlignment="1">
      <alignment horizontal="left"/>
      <protection/>
    </xf>
    <xf numFmtId="0" fontId="10" fillId="0" borderId="35" xfId="52" applyNumberFormat="1" applyFont="1" applyFill="1" applyBorder="1" applyAlignment="1">
      <alignment horizontal="center" vertical="center" wrapText="1"/>
      <protection/>
    </xf>
    <xf numFmtId="0" fontId="10" fillId="0" borderId="58" xfId="52" applyNumberFormat="1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31" fillId="40" borderId="85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41" borderId="64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0" fontId="31" fillId="39" borderId="85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31" fillId="36" borderId="85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0" borderId="85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7" borderId="85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40" borderId="36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170" fontId="31" fillId="0" borderId="36" xfId="47" applyFont="1" applyBorder="1" applyAlignment="1">
      <alignment horizontal="left"/>
    </xf>
    <xf numFmtId="170" fontId="31" fillId="0" borderId="12" xfId="47" applyFont="1" applyBorder="1" applyAlignment="1">
      <alignment horizontal="left"/>
    </xf>
    <xf numFmtId="170" fontId="31" fillId="0" borderId="41" xfId="47" applyFont="1" applyBorder="1" applyAlignment="1">
      <alignment horizontal="left"/>
    </xf>
    <xf numFmtId="170" fontId="31" fillId="0" borderId="23" xfId="47" applyFont="1" applyBorder="1" applyAlignment="1">
      <alignment horizontal="left"/>
    </xf>
    <xf numFmtId="170" fontId="31" fillId="0" borderId="26" xfId="47" applyFont="1" applyBorder="1" applyAlignment="1">
      <alignment horizontal="left"/>
    </xf>
    <xf numFmtId="170" fontId="31" fillId="0" borderId="42" xfId="47" applyFont="1" applyBorder="1" applyAlignment="1">
      <alignment horizontal="left"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8" borderId="85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6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5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0" borderId="36" xfId="53" applyFont="1" applyBorder="1" applyAlignment="1">
      <alignment horizontal="left"/>
      <protection/>
    </xf>
    <xf numFmtId="0" fontId="31" fillId="37" borderId="71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170" fontId="31" fillId="0" borderId="85" xfId="47" applyFont="1" applyBorder="1" applyAlignment="1">
      <alignment horizontal="left"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170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170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170" fontId="31" fillId="0" borderId="71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5" xfId="47" applyFont="1" applyBorder="1" applyAlignment="1">
      <alignment horizontal="left"/>
    </xf>
    <xf numFmtId="0" fontId="28" fillId="0" borderId="0" xfId="56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76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6" xfId="53" applyFont="1" applyFill="1" applyBorder="1" applyAlignment="1">
      <alignment horizontal="center" vertical="center"/>
      <protection/>
    </xf>
    <xf numFmtId="0" fontId="30" fillId="0" borderId="87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1" xfId="53" applyFont="1" applyBorder="1" applyAlignment="1">
      <alignment horizontal="center"/>
      <protection/>
    </xf>
    <xf numFmtId="0" fontId="30" fillId="0" borderId="80" xfId="53" applyFont="1" applyBorder="1" applyAlignment="1">
      <alignment horizontal="center"/>
      <protection/>
    </xf>
    <xf numFmtId="0" fontId="30" fillId="0" borderId="68" xfId="53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6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76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6" xfId="57" applyFont="1" applyBorder="1" applyAlignment="1">
      <alignment horizontal="center"/>
      <protection/>
    </xf>
    <xf numFmtId="0" fontId="31" fillId="41" borderId="23" xfId="53" applyFont="1" applyFill="1" applyBorder="1" applyAlignment="1">
      <alignment horizontal="left"/>
      <protection/>
    </xf>
    <xf numFmtId="170" fontId="31" fillId="0" borderId="57" xfId="47" applyFont="1" applyBorder="1" applyAlignment="1">
      <alignment horizontal="left"/>
    </xf>
    <xf numFmtId="171" fontId="4" fillId="42" borderId="12" xfId="0" applyNumberFormat="1" applyFont="1" applyFill="1" applyBorder="1" applyAlignment="1">
      <alignment horizontal="center"/>
    </xf>
    <xf numFmtId="171" fontId="4" fillId="42" borderId="30" xfId="0" applyNumberFormat="1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 vertical="center"/>
    </xf>
    <xf numFmtId="171" fontId="4" fillId="42" borderId="38" xfId="0" applyNumberFormat="1" applyFont="1" applyFill="1" applyBorder="1" applyAlignment="1">
      <alignment horizontal="left" vertical="center"/>
    </xf>
    <xf numFmtId="171" fontId="4" fillId="42" borderId="39" xfId="0" applyNumberFormat="1" applyFont="1" applyFill="1" applyBorder="1" applyAlignment="1">
      <alignment horizontal="left" vertical="center"/>
    </xf>
    <xf numFmtId="171" fontId="4" fillId="42" borderId="55" xfId="0" applyNumberFormat="1" applyFont="1" applyFill="1" applyBorder="1" applyAlignment="1">
      <alignment horizontal="left" vertical="center"/>
    </xf>
    <xf numFmtId="171" fontId="4" fillId="42" borderId="12" xfId="0" applyNumberFormat="1" applyFont="1" applyFill="1" applyBorder="1" applyAlignment="1">
      <alignment horizontal="center" vertical="center"/>
    </xf>
    <xf numFmtId="171" fontId="4" fillId="42" borderId="41" xfId="0" applyNumberFormat="1" applyFont="1" applyFill="1" applyBorder="1" applyAlignment="1">
      <alignment horizontal="center"/>
    </xf>
    <xf numFmtId="171" fontId="4" fillId="42" borderId="83" xfId="0" applyNumberFormat="1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171" fontId="4" fillId="42" borderId="42" xfId="0" applyNumberFormat="1" applyFont="1" applyFill="1" applyBorder="1" applyAlignment="1">
      <alignment horizontal="center"/>
    </xf>
    <xf numFmtId="171" fontId="4" fillId="42" borderId="69" xfId="0" applyNumberFormat="1" applyFont="1" applyFill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40" fillId="42" borderId="50" xfId="0" applyFont="1" applyFill="1" applyBorder="1" applyAlignment="1">
      <alignment horizontal="center"/>
    </xf>
    <xf numFmtId="0" fontId="40" fillId="42" borderId="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12" fillId="42" borderId="48" xfId="0" applyFont="1" applyFill="1" applyBorder="1" applyAlignment="1">
      <alignment horizontal="left"/>
    </xf>
    <xf numFmtId="171" fontId="4" fillId="42" borderId="26" xfId="0" applyNumberFormat="1" applyFont="1" applyFill="1" applyBorder="1" applyAlignment="1">
      <alignment horizontal="center"/>
    </xf>
    <xf numFmtId="171" fontId="4" fillId="42" borderId="27" xfId="0" applyNumberFormat="1" applyFont="1" applyFill="1" applyBorder="1" applyAlignment="1">
      <alignment horizontal="center"/>
    </xf>
    <xf numFmtId="0" fontId="23" fillId="42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left"/>
    </xf>
    <xf numFmtId="171" fontId="4" fillId="42" borderId="29" xfId="0" applyNumberFormat="1" applyFont="1" applyFill="1" applyBorder="1" applyAlignment="1">
      <alignment horizontal="left"/>
    </xf>
    <xf numFmtId="171" fontId="4" fillId="42" borderId="28" xfId="0" applyNumberFormat="1" applyFont="1" applyFill="1" applyBorder="1" applyAlignment="1">
      <alignment horizontal="center"/>
    </xf>
    <xf numFmtId="171" fontId="4" fillId="42" borderId="29" xfId="0" applyNumberFormat="1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76" xfId="0" applyNumberFormat="1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center"/>
    </xf>
    <xf numFmtId="171" fontId="4" fillId="42" borderId="56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171" fontId="4" fillId="42" borderId="65" xfId="0" applyNumberFormat="1" applyFont="1" applyFill="1" applyBorder="1" applyAlignment="1">
      <alignment horizontal="center"/>
    </xf>
    <xf numFmtId="171" fontId="4" fillId="42" borderId="79" xfId="0" applyNumberFormat="1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181" fontId="2" fillId="0" borderId="32" xfId="0" applyNumberFormat="1" applyFont="1" applyFill="1" applyBorder="1" applyAlignment="1">
      <alignment horizontal="center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7" fillId="0" borderId="6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67" xfId="0" applyNumberFormat="1" applyFont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181" fontId="42" fillId="0" borderId="89" xfId="0" applyNumberFormat="1" applyFont="1" applyBorder="1" applyAlignment="1">
      <alignment horizontal="left" vertical="center"/>
    </xf>
    <xf numFmtId="181" fontId="42" fillId="0" borderId="83" xfId="0" applyNumberFormat="1" applyFont="1" applyBorder="1" applyAlignment="1">
      <alignment horizontal="left" vertical="center"/>
    </xf>
    <xf numFmtId="0" fontId="47" fillId="47" borderId="28" xfId="0" applyFont="1" applyFill="1" applyBorder="1" applyAlignment="1">
      <alignment horizontal="center" vertical="center" wrapText="1"/>
    </xf>
    <xf numFmtId="0" fontId="47" fillId="47" borderId="38" xfId="0" applyFont="1" applyFill="1" applyBorder="1" applyAlignment="1">
      <alignment horizontal="center" vertical="center" wrapText="1"/>
    </xf>
    <xf numFmtId="0" fontId="47" fillId="47" borderId="29" xfId="0" applyFont="1" applyFill="1" applyBorder="1" applyAlignment="1">
      <alignment horizontal="center" vertical="center" wrapText="1"/>
    </xf>
    <xf numFmtId="0" fontId="47" fillId="47" borderId="40" xfId="0" applyFont="1" applyFill="1" applyBorder="1" applyAlignment="1">
      <alignment horizontal="center" vertical="center" wrapText="1"/>
    </xf>
    <xf numFmtId="2" fontId="48" fillId="0" borderId="41" xfId="0" applyNumberFormat="1" applyFont="1" applyBorder="1" applyAlignment="1">
      <alignment horizontal="left" vertical="top"/>
    </xf>
    <xf numFmtId="2" fontId="48" fillId="0" borderId="85" xfId="0" applyNumberFormat="1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7" fillId="47" borderId="72" xfId="0" applyFont="1" applyFill="1" applyBorder="1" applyAlignment="1">
      <alignment horizontal="right" vertical="top" wrapText="1"/>
    </xf>
    <xf numFmtId="0" fontId="47" fillId="47" borderId="90" xfId="0" applyFont="1" applyFill="1" applyBorder="1" applyAlignment="1">
      <alignment horizontal="right" vertical="top" wrapText="1"/>
    </xf>
    <xf numFmtId="0" fontId="47" fillId="47" borderId="25" xfId="0" applyFont="1" applyFill="1" applyBorder="1" applyAlignment="1">
      <alignment horizontal="right" vertical="top" wrapText="1"/>
    </xf>
    <xf numFmtId="0" fontId="47" fillId="0" borderId="85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7" borderId="35" xfId="0" applyFont="1" applyFill="1" applyBorder="1" applyAlignment="1">
      <alignment horizontal="center" vertical="center" wrapText="1"/>
    </xf>
    <xf numFmtId="0" fontId="47" fillId="47" borderId="37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right" vertical="center" wrapText="1"/>
    </xf>
    <xf numFmtId="0" fontId="42" fillId="0" borderId="59" xfId="0" applyFont="1" applyBorder="1" applyAlignment="1">
      <alignment horizontal="right" vertical="center" wrapText="1"/>
    </xf>
    <xf numFmtId="0" fontId="42" fillId="0" borderId="6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71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38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left"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82" xfId="0" applyNumberFormat="1" applyFont="1" applyBorder="1" applyAlignment="1">
      <alignment horizontal="center" vertical="top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7" fillId="47" borderId="12" xfId="0" applyFont="1" applyFill="1" applyBorder="1" applyAlignment="1">
      <alignment horizontal="center" wrapText="1"/>
    </xf>
    <xf numFmtId="0" fontId="47" fillId="47" borderId="30" xfId="0" applyFont="1" applyFill="1" applyBorder="1" applyAlignment="1">
      <alignment horizontal="center" wrapText="1"/>
    </xf>
    <xf numFmtId="0" fontId="9" fillId="47" borderId="41" xfId="0" applyFont="1" applyFill="1" applyBorder="1" applyAlignment="1">
      <alignment horizontal="center"/>
    </xf>
    <xf numFmtId="0" fontId="9" fillId="47" borderId="89" xfId="0" applyFont="1" applyFill="1" applyBorder="1" applyAlignment="1">
      <alignment horizontal="center"/>
    </xf>
    <xf numFmtId="0" fontId="42" fillId="0" borderId="89" xfId="0" applyFont="1" applyBorder="1" applyAlignment="1">
      <alignment horizontal="left" vertical="top" wrapText="1"/>
    </xf>
    <xf numFmtId="0" fontId="42" fillId="0" borderId="85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center"/>
    </xf>
    <xf numFmtId="0" fontId="42" fillId="0" borderId="89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44" applyAlignment="1" applyProtection="1">
      <alignment horizontal="center"/>
      <protection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44" fillId="47" borderId="57" xfId="0" applyFont="1" applyFill="1" applyBorder="1" applyAlignment="1">
      <alignment horizontal="center" vertical="top" wrapText="1"/>
    </xf>
    <xf numFmtId="0" fontId="44" fillId="47" borderId="55" xfId="0" applyFont="1" applyFill="1" applyBorder="1" applyAlignment="1">
      <alignment horizontal="center" vertical="top" wrapText="1"/>
    </xf>
    <xf numFmtId="0" fontId="44" fillId="47" borderId="23" xfId="0" applyFont="1" applyFill="1" applyBorder="1" applyAlignment="1">
      <alignment horizontal="center" vertical="top" wrapText="1"/>
    </xf>
    <xf numFmtId="0" fontId="44" fillId="47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left" vertical="top" wrapText="1"/>
    </xf>
    <xf numFmtId="0" fontId="51" fillId="0" borderId="79" xfId="0" applyFont="1" applyBorder="1" applyAlignment="1">
      <alignment horizontal="left" vertical="top" wrapText="1"/>
    </xf>
    <xf numFmtId="0" fontId="51" fillId="0" borderId="66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88" xfId="0" applyFont="1" applyBorder="1" applyAlignment="1">
      <alignment horizontal="left" vertical="top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88" xfId="0" applyFont="1" applyBorder="1" applyAlignment="1">
      <alignment horizontal="left" vertical="center" wrapText="1"/>
    </xf>
    <xf numFmtId="0" fontId="44" fillId="47" borderId="36" xfId="0" applyFont="1" applyFill="1" applyBorder="1" applyAlignment="1">
      <alignment horizontal="center" vertical="center" wrapText="1"/>
    </xf>
    <xf numFmtId="0" fontId="44" fillId="47" borderId="37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center" wrapText="1"/>
    </xf>
    <xf numFmtId="0" fontId="44" fillId="47" borderId="38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top" wrapText="1"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left" vertical="top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0" fillId="47" borderId="91" xfId="0" applyFill="1" applyBorder="1" applyAlignment="1">
      <alignment horizontal="center" vertical="top" wrapText="1"/>
    </xf>
    <xf numFmtId="0" fontId="0" fillId="47" borderId="92" xfId="0" applyFill="1" applyBorder="1" applyAlignment="1">
      <alignment horizontal="center" vertical="top" wrapText="1"/>
    </xf>
    <xf numFmtId="0" fontId="0" fillId="47" borderId="78" xfId="0" applyFill="1" applyBorder="1" applyAlignment="1">
      <alignment/>
    </xf>
    <xf numFmtId="0" fontId="0" fillId="47" borderId="68" xfId="0" applyFill="1" applyBorder="1" applyAlignment="1">
      <alignment horizontal="center" vertical="top" wrapText="1"/>
    </xf>
    <xf numFmtId="0" fontId="0" fillId="47" borderId="24" xfId="0" applyFill="1" applyBorder="1" applyAlignment="1">
      <alignment horizontal="center" vertical="top" wrapText="1"/>
    </xf>
    <xf numFmtId="0" fontId="0" fillId="47" borderId="67" xfId="0" applyFill="1" applyBorder="1" applyAlignment="1">
      <alignment horizontal="center" vertical="top" wrapText="1"/>
    </xf>
    <xf numFmtId="0" fontId="0" fillId="47" borderId="42" xfId="0" applyFont="1" applyFill="1" applyBorder="1" applyAlignment="1">
      <alignment horizontal="center" vertical="top" wrapText="1"/>
    </xf>
    <xf numFmtId="0" fontId="0" fillId="47" borderId="90" xfId="0" applyFill="1" applyBorder="1" applyAlignment="1">
      <alignment horizontal="center" vertical="top" wrapText="1"/>
    </xf>
    <xf numFmtId="0" fontId="0" fillId="47" borderId="69" xfId="0" applyFill="1" applyBorder="1" applyAlignment="1">
      <alignment horizontal="center" vertical="top" wrapText="1"/>
    </xf>
    <xf numFmtId="0" fontId="0" fillId="47" borderId="23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47" borderId="89" xfId="0" applyFont="1" applyFill="1" applyBorder="1" applyAlignment="1">
      <alignment horizontal="center" vertical="center"/>
    </xf>
    <xf numFmtId="0" fontId="0" fillId="47" borderId="83" xfId="0" applyFont="1" applyFill="1" applyBorder="1" applyAlignment="1">
      <alignment horizontal="center" vertical="center"/>
    </xf>
    <xf numFmtId="0" fontId="0" fillId="47" borderId="88" xfId="0" applyFill="1" applyBorder="1" applyAlignment="1">
      <alignment horizontal="center"/>
    </xf>
    <xf numFmtId="0" fontId="0" fillId="47" borderId="89" xfId="0" applyFill="1" applyBorder="1" applyAlignment="1">
      <alignment horizontal="center"/>
    </xf>
    <xf numFmtId="0" fontId="0" fillId="47" borderId="83" xfId="0" applyFill="1" applyBorder="1" applyAlignment="1">
      <alignment horizontal="center"/>
    </xf>
    <xf numFmtId="0" fontId="0" fillId="47" borderId="85" xfId="0" applyFill="1" applyBorder="1" applyAlignment="1">
      <alignment horizontal="center"/>
    </xf>
    <xf numFmtId="0" fontId="36" fillId="47" borderId="41" xfId="0" applyFont="1" applyFill="1" applyBorder="1" applyAlignment="1">
      <alignment horizontal="center" vertical="center"/>
    </xf>
    <xf numFmtId="0" fontId="36" fillId="47" borderId="89" xfId="0" applyFont="1" applyFill="1" applyBorder="1" applyAlignment="1">
      <alignment horizontal="center" vertical="center"/>
    </xf>
    <xf numFmtId="0" fontId="36" fillId="47" borderId="85" xfId="0" applyFont="1" applyFill="1" applyBorder="1" applyAlignment="1">
      <alignment horizontal="center" vertical="center"/>
    </xf>
    <xf numFmtId="171" fontId="0" fillId="47" borderId="41" xfId="67" applyFont="1" applyFill="1" applyBorder="1" applyAlignment="1">
      <alignment horizontal="center"/>
    </xf>
    <xf numFmtId="171" fontId="0" fillId="47" borderId="85" xfId="67" applyFont="1" applyFill="1" applyBorder="1" applyAlignment="1">
      <alignment horizontal="center"/>
    </xf>
    <xf numFmtId="166" fontId="2" fillId="47" borderId="41" xfId="50" applyNumberFormat="1" applyFont="1" applyFill="1" applyBorder="1" applyAlignment="1">
      <alignment horizontal="center"/>
    </xf>
    <xf numFmtId="166" fontId="2" fillId="47" borderId="89" xfId="50" applyNumberFormat="1" applyFont="1" applyFill="1" applyBorder="1" applyAlignment="1">
      <alignment horizontal="center"/>
    </xf>
    <xf numFmtId="166" fontId="2" fillId="47" borderId="85" xfId="50" applyNumberFormat="1" applyFont="1" applyFill="1" applyBorder="1" applyAlignment="1">
      <alignment horizontal="center"/>
    </xf>
    <xf numFmtId="0" fontId="11" fillId="47" borderId="93" xfId="0" applyFont="1" applyFill="1" applyBorder="1" applyAlignment="1">
      <alignment horizontal="center" vertical="center" wrapText="1"/>
    </xf>
    <xf numFmtId="0" fontId="0" fillId="47" borderId="94" xfId="0" applyFill="1" applyBorder="1" applyAlignment="1">
      <alignment horizontal="center" vertical="center"/>
    </xf>
    <xf numFmtId="0" fontId="0" fillId="47" borderId="95" xfId="0" applyFill="1" applyBorder="1" applyAlignment="1">
      <alignment horizontal="center" vertical="center"/>
    </xf>
    <xf numFmtId="0" fontId="11" fillId="47" borderId="96" xfId="0" applyFont="1" applyFill="1" applyBorder="1" applyAlignment="1">
      <alignment horizontal="center" vertical="center" wrapText="1"/>
    </xf>
    <xf numFmtId="0" fontId="0" fillId="47" borderId="97" xfId="0" applyFill="1" applyBorder="1" applyAlignment="1">
      <alignment horizontal="center" vertical="center"/>
    </xf>
    <xf numFmtId="0" fontId="0" fillId="47" borderId="98" xfId="0" applyFill="1" applyBorder="1" applyAlignment="1">
      <alignment horizontal="center" vertical="center"/>
    </xf>
    <xf numFmtId="0" fontId="11" fillId="47" borderId="99" xfId="0" applyFont="1" applyFill="1" applyBorder="1" applyAlignment="1">
      <alignment horizontal="center" vertical="center" wrapText="1"/>
    </xf>
    <xf numFmtId="0" fontId="11" fillId="47" borderId="100" xfId="0" applyFont="1" applyFill="1" applyBorder="1" applyAlignment="1">
      <alignment horizontal="center" vertical="center" wrapText="1"/>
    </xf>
    <xf numFmtId="0" fontId="11" fillId="47" borderId="101" xfId="0" applyFont="1" applyFill="1" applyBorder="1" applyAlignment="1">
      <alignment horizontal="center" vertical="center" wrapText="1"/>
    </xf>
    <xf numFmtId="0" fontId="0" fillId="47" borderId="102" xfId="0" applyFill="1" applyBorder="1" applyAlignment="1">
      <alignment horizontal="center" vertical="center" wrapText="1"/>
    </xf>
    <xf numFmtId="0" fontId="0" fillId="47" borderId="103" xfId="0" applyFill="1" applyBorder="1" applyAlignment="1">
      <alignment horizontal="center" vertical="center" wrapText="1"/>
    </xf>
    <xf numFmtId="0" fontId="0" fillId="47" borderId="104" xfId="0" applyFill="1" applyBorder="1" applyAlignment="1">
      <alignment horizontal="center" vertical="center" wrapText="1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11" fillId="47" borderId="89" xfId="0" applyFont="1" applyFill="1" applyBorder="1" applyAlignment="1">
      <alignment horizontal="center" vertical="center" wrapText="1"/>
    </xf>
    <xf numFmtId="170" fontId="12" fillId="0" borderId="41" xfId="0" applyNumberFormat="1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11" fillId="0" borderId="8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9" xfId="0" applyFont="1" applyBorder="1" applyAlignment="1">
      <alignment horizontal="left" vertical="center" wrapText="1"/>
    </xf>
    <xf numFmtId="0" fontId="56" fillId="0" borderId="85" xfId="0" applyFont="1" applyBorder="1" applyAlignment="1">
      <alignment horizontal="left" vertical="center" wrapText="1"/>
    </xf>
    <xf numFmtId="0" fontId="54" fillId="0" borderId="88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33" borderId="13" xfId="52" applyFont="1" applyFill="1" applyBorder="1" applyAlignment="1">
      <alignment horizontal="center"/>
      <protection/>
    </xf>
    <xf numFmtId="0" fontId="9" fillId="42" borderId="76" xfId="52" applyFont="1" applyFill="1" applyBorder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17" fontId="9" fillId="33" borderId="0" xfId="52" applyNumberFormat="1" applyFont="1" applyFill="1" applyAlignment="1">
      <alignment horizontal="center"/>
      <protection/>
    </xf>
    <xf numFmtId="181" fontId="9" fillId="33" borderId="0" xfId="52" applyNumberFormat="1" applyFont="1" applyFill="1" applyAlignment="1">
      <alignment horizontal="center"/>
      <protection/>
    </xf>
    <xf numFmtId="181" fontId="9" fillId="33" borderId="17" xfId="52" applyNumberFormat="1" applyFont="1" applyFill="1" applyBorder="1" applyAlignment="1">
      <alignment horizontal="center"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2" borderId="36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36" xfId="52" applyFont="1" applyFill="1" applyBorder="1" applyAlignment="1">
      <alignment horizontal="center"/>
      <protection/>
    </xf>
    <xf numFmtId="0" fontId="0" fillId="42" borderId="3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0" fillId="42" borderId="40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2" borderId="0" xfId="52" applyFont="1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0" fontId="0" fillId="42" borderId="57" xfId="52" applyFill="1" applyBorder="1" applyAlignment="1">
      <alignment horizontal="center"/>
      <protection/>
    </xf>
    <xf numFmtId="0" fontId="0" fillId="42" borderId="55" xfId="52" applyFill="1" applyBorder="1" applyAlignment="1">
      <alignment horizontal="center"/>
      <protection/>
    </xf>
    <xf numFmtId="0" fontId="0" fillId="42" borderId="56" xfId="52" applyFill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6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5" xfId="0" applyNumberFormat="1" applyFont="1" applyFill="1" applyBorder="1" applyAlignment="1">
      <alignment horizontal="left"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" xfId="64"/>
    <cellStyle name="Comma [0]" xfId="65"/>
    <cellStyle name="Separador de milhares 2" xfId="66"/>
    <cellStyle name="Separador de milhares 2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171450</xdr:rowOff>
    </xdr:from>
    <xdr:to>
      <xdr:col>9</xdr:col>
      <xdr:colOff>304800</xdr:colOff>
      <xdr:row>22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124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28</xdr:row>
      <xdr:rowOff>0</xdr:rowOff>
    </xdr:from>
    <xdr:to>
      <xdr:col>9</xdr:col>
      <xdr:colOff>85725</xdr:colOff>
      <xdr:row>28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5667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34</xdr:row>
      <xdr:rowOff>85725</xdr:rowOff>
    </xdr:from>
    <xdr:to>
      <xdr:col>9</xdr:col>
      <xdr:colOff>447675</xdr:colOff>
      <xdr:row>37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6810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30</xdr:row>
      <xdr:rowOff>85725</xdr:rowOff>
    </xdr:from>
    <xdr:to>
      <xdr:col>8</xdr:col>
      <xdr:colOff>447675</xdr:colOff>
      <xdr:row>33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134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73</xdr:row>
      <xdr:rowOff>0</xdr:rowOff>
    </xdr:from>
    <xdr:to>
      <xdr:col>16</xdr:col>
      <xdr:colOff>38100</xdr:colOff>
      <xdr:row>74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61163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76</xdr:row>
      <xdr:rowOff>161925</xdr:rowOff>
    </xdr:from>
    <xdr:to>
      <xdr:col>18</xdr:col>
      <xdr:colOff>561975</xdr:colOff>
      <xdr:row>78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67640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78</xdr:row>
      <xdr:rowOff>95250</xdr:rowOff>
    </xdr:from>
    <xdr:to>
      <xdr:col>18</xdr:col>
      <xdr:colOff>523875</xdr:colOff>
      <xdr:row>80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0211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80</xdr:row>
      <xdr:rowOff>152400</xdr:rowOff>
    </xdr:from>
    <xdr:to>
      <xdr:col>18</xdr:col>
      <xdr:colOff>295275</xdr:colOff>
      <xdr:row>82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4021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73</xdr:row>
      <xdr:rowOff>0</xdr:rowOff>
    </xdr:from>
    <xdr:to>
      <xdr:col>21</xdr:col>
      <xdr:colOff>447675</xdr:colOff>
      <xdr:row>74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1163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75</xdr:row>
      <xdr:rowOff>0</xdr:rowOff>
    </xdr:from>
    <xdr:to>
      <xdr:col>20</xdr:col>
      <xdr:colOff>609600</xdr:colOff>
      <xdr:row>76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4401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76</xdr:row>
      <xdr:rowOff>161925</xdr:rowOff>
    </xdr:from>
    <xdr:to>
      <xdr:col>21</xdr:col>
      <xdr:colOff>57150</xdr:colOff>
      <xdr:row>79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7640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80</xdr:row>
      <xdr:rowOff>38100</xdr:rowOff>
    </xdr:from>
    <xdr:to>
      <xdr:col>21</xdr:col>
      <xdr:colOff>419100</xdr:colOff>
      <xdr:row>81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2878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8" bestFit="1" customWidth="1"/>
    <col min="8" max="8" width="12.140625" style="0" bestFit="1" customWidth="1"/>
  </cols>
  <sheetData>
    <row r="1" ht="12.75">
      <c r="B1" s="721" t="s">
        <v>549</v>
      </c>
    </row>
    <row r="2" spans="1:4" ht="12.75">
      <c r="A2" s="10" t="s">
        <v>312</v>
      </c>
      <c r="B2" s="722"/>
      <c r="C2" s="10" t="s">
        <v>313</v>
      </c>
      <c r="D2" s="168" t="s">
        <v>34</v>
      </c>
    </row>
    <row r="3" spans="1:5" ht="12.75">
      <c r="A3" s="228" t="s">
        <v>152</v>
      </c>
      <c r="B3" s="122" t="s">
        <v>314</v>
      </c>
      <c r="C3" s="11" t="s">
        <v>315</v>
      </c>
      <c r="D3" s="240">
        <v>10</v>
      </c>
      <c r="E3" s="58" t="s">
        <v>162</v>
      </c>
    </row>
    <row r="4" spans="1:5" ht="14.25">
      <c r="A4" s="529">
        <v>73599</v>
      </c>
      <c r="B4" s="122" t="s">
        <v>425</v>
      </c>
      <c r="C4" s="11"/>
      <c r="D4" s="240"/>
      <c r="E4" s="58"/>
    </row>
    <row r="5" spans="1:5" ht="14.25">
      <c r="A5" s="228" t="s">
        <v>213</v>
      </c>
      <c r="B5" s="144" t="s">
        <v>318</v>
      </c>
      <c r="C5" s="11" t="s">
        <v>315</v>
      </c>
      <c r="D5" s="240"/>
      <c r="E5" s="58" t="s">
        <v>162</v>
      </c>
    </row>
    <row r="6" spans="1:5" ht="12.75">
      <c r="A6" s="228" t="s">
        <v>197</v>
      </c>
      <c r="B6" s="122" t="s">
        <v>317</v>
      </c>
      <c r="C6" s="11" t="s">
        <v>316</v>
      </c>
      <c r="D6" s="240"/>
      <c r="E6" s="58" t="s">
        <v>162</v>
      </c>
    </row>
    <row r="7" spans="1:5" ht="12.75">
      <c r="A7" s="228" t="s">
        <v>403</v>
      </c>
      <c r="B7" s="122" t="s">
        <v>402</v>
      </c>
      <c r="C7" s="228" t="s">
        <v>316</v>
      </c>
      <c r="D7" s="186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40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40"/>
      <c r="E11" s="234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40"/>
      <c r="E12" s="234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40"/>
      <c r="E13" s="234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40"/>
      <c r="E14" s="234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40"/>
      <c r="E15" s="234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40"/>
      <c r="E16" s="234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40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40"/>
      <c r="E20" s="234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40"/>
      <c r="E21" s="234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40"/>
      <c r="E22" s="234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40"/>
      <c r="E23" s="234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40"/>
      <c r="E24" s="234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40"/>
      <c r="E25" s="234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40"/>
      <c r="E26" s="234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40"/>
      <c r="E27" s="234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40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40"/>
      <c r="E31" s="58" t="s">
        <v>162</v>
      </c>
    </row>
    <row r="33" spans="1:5" ht="12.75">
      <c r="A33" s="228" t="s">
        <v>264</v>
      </c>
      <c r="B33" s="122" t="s">
        <v>263</v>
      </c>
      <c r="C33" s="11" t="s">
        <v>338</v>
      </c>
      <c r="D33" s="240"/>
      <c r="E33" s="58" t="s">
        <v>162</v>
      </c>
    </row>
    <row r="34" spans="1:5" ht="12.75">
      <c r="A34" s="228" t="s">
        <v>266</v>
      </c>
      <c r="B34" s="122" t="s">
        <v>265</v>
      </c>
      <c r="C34" s="11" t="s">
        <v>338</v>
      </c>
      <c r="D34" s="240"/>
      <c r="E34" s="234" t="s">
        <v>162</v>
      </c>
    </row>
    <row r="35" spans="1:5" ht="12.75">
      <c r="A35" s="228" t="s">
        <v>268</v>
      </c>
      <c r="B35" s="122" t="s">
        <v>267</v>
      </c>
      <c r="C35" s="11" t="s">
        <v>338</v>
      </c>
      <c r="D35" s="240"/>
      <c r="E35" s="234" t="s">
        <v>162</v>
      </c>
    </row>
    <row r="36" spans="1:5" ht="12.75">
      <c r="A36" s="228" t="s">
        <v>270</v>
      </c>
      <c r="B36" s="122" t="s">
        <v>269</v>
      </c>
      <c r="C36" s="11" t="s">
        <v>338</v>
      </c>
      <c r="D36" s="240"/>
      <c r="E36" s="234" t="s">
        <v>162</v>
      </c>
    </row>
    <row r="37" spans="1:5" ht="12.75">
      <c r="A37" s="228" t="s">
        <v>393</v>
      </c>
      <c r="B37" s="122" t="s">
        <v>271</v>
      </c>
      <c r="C37" s="11" t="s">
        <v>338</v>
      </c>
      <c r="D37" s="240"/>
      <c r="E37" s="234" t="s">
        <v>162</v>
      </c>
    </row>
    <row r="40" spans="1:5" ht="12.75">
      <c r="A40" s="228" t="s">
        <v>273</v>
      </c>
      <c r="B40" s="122" t="s">
        <v>272</v>
      </c>
      <c r="C40" s="11" t="s">
        <v>338</v>
      </c>
      <c r="D40" s="240"/>
      <c r="E40" s="58" t="s">
        <v>162</v>
      </c>
    </row>
    <row r="41" spans="1:5" ht="12.75">
      <c r="A41" s="228" t="s">
        <v>275</v>
      </c>
      <c r="B41" s="122" t="s">
        <v>274</v>
      </c>
      <c r="C41" s="11" t="s">
        <v>338</v>
      </c>
      <c r="D41" s="240"/>
      <c r="E41" s="234" t="s">
        <v>162</v>
      </c>
    </row>
    <row r="42" spans="1:5" ht="12.75">
      <c r="A42" s="228" t="s">
        <v>277</v>
      </c>
      <c r="B42" s="122" t="s">
        <v>276</v>
      </c>
      <c r="C42" s="11" t="s">
        <v>338</v>
      </c>
      <c r="D42" s="240"/>
      <c r="E42" s="234" t="s">
        <v>162</v>
      </c>
    </row>
    <row r="43" spans="1:5" ht="12.75">
      <c r="A43" s="228" t="s">
        <v>279</v>
      </c>
      <c r="B43" s="122" t="s">
        <v>278</v>
      </c>
      <c r="C43" s="11" t="s">
        <v>338</v>
      </c>
      <c r="D43" s="240"/>
      <c r="E43" s="234" t="s">
        <v>162</v>
      </c>
    </row>
    <row r="44" spans="1:5" ht="12.75">
      <c r="A44" s="228" t="s">
        <v>281</v>
      </c>
      <c r="B44" s="122" t="s">
        <v>280</v>
      </c>
      <c r="C44" s="11" t="s">
        <v>338</v>
      </c>
      <c r="D44" s="240"/>
      <c r="E44" s="234" t="s">
        <v>162</v>
      </c>
    </row>
    <row r="45" ht="12.75">
      <c r="D45" s="170"/>
    </row>
    <row r="47" spans="1:5" ht="12.75">
      <c r="A47" s="11">
        <v>72961</v>
      </c>
      <c r="B47" s="122" t="s">
        <v>339</v>
      </c>
      <c r="C47" s="11" t="s">
        <v>315</v>
      </c>
      <c r="D47" s="240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40"/>
      <c r="E48" s="234" t="s">
        <v>162</v>
      </c>
    </row>
    <row r="49" spans="1:5" ht="12.75">
      <c r="A49" s="228" t="s">
        <v>233</v>
      </c>
      <c r="B49" s="122" t="s">
        <v>234</v>
      </c>
      <c r="C49" s="11" t="s">
        <v>316</v>
      </c>
      <c r="D49" s="240"/>
      <c r="E49" s="234" t="s">
        <v>162</v>
      </c>
    </row>
    <row r="50" spans="1:5" ht="12.75">
      <c r="A50" s="228" t="s">
        <v>348</v>
      </c>
      <c r="B50" s="122" t="s">
        <v>347</v>
      </c>
      <c r="C50" s="11" t="s">
        <v>316</v>
      </c>
      <c r="D50" s="240"/>
      <c r="E50" s="234" t="s">
        <v>162</v>
      </c>
    </row>
    <row r="51" spans="1:8" ht="14.25">
      <c r="A51" s="228" t="s">
        <v>157</v>
      </c>
      <c r="B51" s="122" t="s">
        <v>341</v>
      </c>
      <c r="C51" s="11" t="s">
        <v>320</v>
      </c>
      <c r="D51" s="240"/>
      <c r="E51" s="234" t="s">
        <v>162</v>
      </c>
      <c r="H51" s="247"/>
    </row>
    <row r="52" spans="1:5" ht="12.75">
      <c r="A52" s="228" t="s">
        <v>343</v>
      </c>
      <c r="B52" s="122" t="s">
        <v>342</v>
      </c>
      <c r="C52" s="11" t="s">
        <v>320</v>
      </c>
      <c r="D52" s="240"/>
      <c r="E52" s="234" t="s">
        <v>162</v>
      </c>
    </row>
    <row r="53" spans="1:5" s="246" customFormat="1" ht="12.75">
      <c r="A53" s="241" t="s">
        <v>307</v>
      </c>
      <c r="B53" s="242" t="s">
        <v>344</v>
      </c>
      <c r="C53" s="243" t="s">
        <v>315</v>
      </c>
      <c r="D53" s="244"/>
      <c r="E53" s="245" t="s">
        <v>162</v>
      </c>
    </row>
    <row r="54" spans="1:5" ht="12.75">
      <c r="A54" s="228" t="s">
        <v>216</v>
      </c>
      <c r="B54" s="122" t="s">
        <v>384</v>
      </c>
      <c r="C54" s="11" t="s">
        <v>315</v>
      </c>
      <c r="D54" s="240"/>
      <c r="E54" s="234" t="s">
        <v>162</v>
      </c>
    </row>
    <row r="55" spans="1:5" ht="12.75">
      <c r="A55" s="228" t="s">
        <v>345</v>
      </c>
      <c r="B55" s="122" t="s">
        <v>385</v>
      </c>
      <c r="C55" s="11" t="s">
        <v>315</v>
      </c>
      <c r="D55" s="240"/>
      <c r="E55" s="234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40"/>
      <c r="E56" s="234" t="s">
        <v>162</v>
      </c>
    </row>
    <row r="57" spans="1:4" ht="12.75">
      <c r="A57" s="8"/>
      <c r="B57" s="169"/>
      <c r="C57" s="8"/>
      <c r="D57" s="170"/>
    </row>
    <row r="58" spans="1:4" ht="12.75">
      <c r="A58" s="8"/>
      <c r="B58" s="169"/>
      <c r="C58" s="8"/>
      <c r="D58" s="170"/>
    </row>
    <row r="59" spans="1:5" ht="12.75">
      <c r="A59" s="228" t="s">
        <v>217</v>
      </c>
      <c r="B59" s="122" t="s">
        <v>349</v>
      </c>
      <c r="C59" s="11" t="s">
        <v>315</v>
      </c>
      <c r="D59" s="240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40"/>
      <c r="E60" s="234" t="s">
        <v>162</v>
      </c>
    </row>
    <row r="61" spans="1:4" ht="12.75">
      <c r="A61" s="8"/>
      <c r="B61" s="169"/>
      <c r="C61" s="8"/>
      <c r="D61" s="170"/>
    </row>
    <row r="63" spans="1:5" ht="12.75">
      <c r="A63" s="11">
        <v>72942</v>
      </c>
      <c r="B63" s="122" t="s">
        <v>351</v>
      </c>
      <c r="C63" s="11" t="s">
        <v>315</v>
      </c>
      <c r="D63" s="240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40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40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40"/>
      <c r="E66" s="234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40"/>
      <c r="E67" s="234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40"/>
      <c r="E68" s="234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40"/>
      <c r="E69" s="234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40"/>
      <c r="E70" s="234" t="s">
        <v>162</v>
      </c>
    </row>
    <row r="71" spans="1:5" ht="12.75">
      <c r="A71" s="11">
        <v>72965</v>
      </c>
      <c r="B71" s="237" t="s">
        <v>394</v>
      </c>
      <c r="C71" s="11" t="s">
        <v>316</v>
      </c>
      <c r="D71" s="240"/>
      <c r="E71" s="234" t="s">
        <v>162</v>
      </c>
    </row>
    <row r="72" ht="12.75">
      <c r="D72" s="186"/>
    </row>
    <row r="75" spans="1:5" ht="12.75">
      <c r="A75" s="228" t="s">
        <v>163</v>
      </c>
      <c r="B75" s="122" t="s">
        <v>360</v>
      </c>
      <c r="C75" s="11"/>
      <c r="D75" s="240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40"/>
      <c r="E76" s="58" t="s">
        <v>162</v>
      </c>
    </row>
    <row r="77" spans="1:5" ht="12.75">
      <c r="A77" s="228" t="s">
        <v>310</v>
      </c>
      <c r="B77" s="122" t="s">
        <v>361</v>
      </c>
      <c r="C77" s="11" t="s">
        <v>362</v>
      </c>
      <c r="D77" s="240"/>
      <c r="E77" s="58" t="s">
        <v>162</v>
      </c>
    </row>
    <row r="78" spans="1:5" ht="12.75">
      <c r="A78" s="228" t="s">
        <v>364</v>
      </c>
      <c r="B78" s="122" t="s">
        <v>363</v>
      </c>
      <c r="C78" s="11" t="s">
        <v>362</v>
      </c>
      <c r="D78" s="240"/>
      <c r="E78" s="234" t="s">
        <v>162</v>
      </c>
    </row>
    <row r="79" spans="1:5" ht="12.75">
      <c r="A79" s="228" t="s">
        <v>311</v>
      </c>
      <c r="B79" s="122" t="s">
        <v>365</v>
      </c>
      <c r="C79" s="11" t="s">
        <v>362</v>
      </c>
      <c r="D79" s="240"/>
      <c r="E79" s="234" t="s">
        <v>162</v>
      </c>
    </row>
    <row r="80" spans="1:5" ht="12.75">
      <c r="A80" s="228" t="s">
        <v>367</v>
      </c>
      <c r="B80" s="122" t="s">
        <v>366</v>
      </c>
      <c r="C80" s="11" t="s">
        <v>362</v>
      </c>
      <c r="D80" s="240"/>
      <c r="E80" s="234" t="s">
        <v>162</v>
      </c>
    </row>
    <row r="81" spans="1:5" ht="12.75">
      <c r="A81" s="228" t="s">
        <v>35</v>
      </c>
      <c r="B81" s="122" t="s">
        <v>368</v>
      </c>
      <c r="C81" s="11" t="s">
        <v>316</v>
      </c>
      <c r="D81" s="240"/>
      <c r="E81" s="234" t="s">
        <v>162</v>
      </c>
    </row>
    <row r="82" spans="1:5" ht="12.75">
      <c r="A82" s="228" t="s">
        <v>370</v>
      </c>
      <c r="B82" s="122" t="s">
        <v>369</v>
      </c>
      <c r="C82" s="11" t="s">
        <v>316</v>
      </c>
      <c r="D82" s="240"/>
      <c r="E82" s="234" t="s">
        <v>162</v>
      </c>
    </row>
    <row r="83" spans="1:5" ht="12.75">
      <c r="A83" s="228" t="s">
        <v>372</v>
      </c>
      <c r="B83" s="122" t="s">
        <v>371</v>
      </c>
      <c r="C83" s="11" t="s">
        <v>316</v>
      </c>
      <c r="D83" s="240"/>
      <c r="E83" s="234" t="s">
        <v>162</v>
      </c>
    </row>
    <row r="84" spans="1:5" ht="12.75">
      <c r="A84" s="228" t="s">
        <v>309</v>
      </c>
      <c r="B84" s="122" t="s">
        <v>308</v>
      </c>
      <c r="C84" s="11" t="s">
        <v>316</v>
      </c>
      <c r="D84" s="240"/>
      <c r="E84" s="234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40"/>
      <c r="E85" s="234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40"/>
      <c r="E86" s="234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40"/>
      <c r="E87" s="234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40"/>
      <c r="E88" s="234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40"/>
      <c r="E89" s="234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40"/>
      <c r="E90" s="234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40"/>
      <c r="E91" s="234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40"/>
      <c r="E92" s="234" t="s">
        <v>162</v>
      </c>
    </row>
    <row r="94" ht="12.75">
      <c r="D94" s="186"/>
    </row>
    <row r="95" spans="1:5" ht="14.25">
      <c r="A95" s="228" t="s">
        <v>218</v>
      </c>
      <c r="B95" s="145" t="s">
        <v>382</v>
      </c>
      <c r="C95" s="11" t="s">
        <v>338</v>
      </c>
      <c r="D95" s="186"/>
      <c r="E95" s="58" t="s">
        <v>162</v>
      </c>
    </row>
    <row r="96" spans="1:5" ht="12.75">
      <c r="A96" s="228" t="s">
        <v>153</v>
      </c>
      <c r="B96" s="122" t="s">
        <v>381</v>
      </c>
      <c r="C96" s="11" t="s">
        <v>338</v>
      </c>
      <c r="D96" s="240"/>
      <c r="E96" s="234" t="s">
        <v>162</v>
      </c>
    </row>
    <row r="97" spans="1:5" ht="12.75">
      <c r="A97" s="11">
        <v>72947</v>
      </c>
      <c r="B97" s="237" t="s">
        <v>396</v>
      </c>
      <c r="C97" s="228" t="s">
        <v>3</v>
      </c>
      <c r="D97" s="240"/>
      <c r="E97" s="234" t="s">
        <v>162</v>
      </c>
    </row>
    <row r="98" spans="1:5" ht="12.75">
      <c r="A98" s="228" t="s">
        <v>397</v>
      </c>
      <c r="B98" s="237" t="s">
        <v>398</v>
      </c>
      <c r="C98" s="228" t="s">
        <v>3</v>
      </c>
      <c r="D98" s="186"/>
      <c r="E98" s="234" t="s">
        <v>162</v>
      </c>
    </row>
    <row r="99" spans="1:5" ht="12.75">
      <c r="A99" s="228" t="s">
        <v>395</v>
      </c>
      <c r="B99" s="237" t="s">
        <v>399</v>
      </c>
      <c r="C99" s="228" t="s">
        <v>4</v>
      </c>
      <c r="D99" s="186"/>
      <c r="E99" s="234" t="s">
        <v>162</v>
      </c>
    </row>
    <row r="100" spans="1:5" ht="12.75">
      <c r="A100" s="228" t="s">
        <v>401</v>
      </c>
      <c r="B100" s="122" t="s">
        <v>400</v>
      </c>
      <c r="C100" s="228" t="s">
        <v>50</v>
      </c>
      <c r="D100" s="186"/>
      <c r="E100" s="234" t="s">
        <v>162</v>
      </c>
    </row>
    <row r="101" spans="1:5" ht="12.75">
      <c r="A101" s="228" t="s">
        <v>407</v>
      </c>
      <c r="B101" s="122" t="s">
        <v>406</v>
      </c>
      <c r="C101" s="228" t="s">
        <v>4</v>
      </c>
      <c r="D101" s="186"/>
      <c r="E101" s="234" t="s">
        <v>162</v>
      </c>
    </row>
    <row r="102" spans="1:5" ht="12.75">
      <c r="A102" s="228" t="s">
        <v>409</v>
      </c>
      <c r="B102" s="122" t="s">
        <v>408</v>
      </c>
      <c r="C102" s="228" t="s">
        <v>2</v>
      </c>
      <c r="D102" s="186"/>
      <c r="E102" s="234" t="s">
        <v>226</v>
      </c>
    </row>
    <row r="104" spans="1:4" ht="14.25">
      <c r="A104" s="11" t="s">
        <v>415</v>
      </c>
      <c r="B104" s="145" t="s">
        <v>382</v>
      </c>
      <c r="C104" s="228" t="s">
        <v>3</v>
      </c>
      <c r="D104" s="240"/>
    </row>
    <row r="105" spans="1:4" ht="12.75">
      <c r="A105" s="11" t="s">
        <v>153</v>
      </c>
      <c r="B105" s="122" t="s">
        <v>381</v>
      </c>
      <c r="C105" s="11" t="s">
        <v>338</v>
      </c>
      <c r="D105" s="240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7" sqref="H7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3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2" t="s">
        <v>21</v>
      </c>
      <c r="C1" s="342" t="s">
        <v>22</v>
      </c>
      <c r="D1" s="1174" t="str">
        <f>'dados de entrada'!B9</f>
        <v>SINAPI - 01/01/2014 - COM DESONERAÇÃO</v>
      </c>
      <c r="E1" s="1174"/>
      <c r="F1" s="1174"/>
      <c r="G1" s="251"/>
      <c r="H1" s="343" t="s">
        <v>230</v>
      </c>
      <c r="I1" s="251"/>
      <c r="J1" s="251"/>
    </row>
    <row r="2" spans="1:10" ht="12.75">
      <c r="A2" s="344" t="str">
        <f>'dados de entrada'!B15</f>
        <v>PREFEITURA MUNICIPAL DE BOMBINHAS</v>
      </c>
      <c r="B2" s="344"/>
      <c r="C2" s="251"/>
      <c r="D2" s="251"/>
      <c r="E2" s="251" t="s">
        <v>23</v>
      </c>
      <c r="F2" s="345" t="s">
        <v>24</v>
      </c>
      <c r="G2" s="251"/>
      <c r="H2" s="251"/>
      <c r="I2" s="251"/>
      <c r="J2" s="251"/>
    </row>
    <row r="3" spans="1:10" ht="12.75">
      <c r="A3" s="344" t="str">
        <f>'dados de entrada'!C19</f>
        <v>RUA CAJÚ - BAIRRO SERTÃOZINHO</v>
      </c>
      <c r="B3" s="344"/>
      <c r="C3" s="251"/>
      <c r="D3" s="251"/>
      <c r="E3" s="251" t="s">
        <v>25</v>
      </c>
      <c r="F3" s="346" t="s">
        <v>26</v>
      </c>
      <c r="G3" s="251"/>
      <c r="H3" s="251"/>
      <c r="I3" s="251"/>
      <c r="J3" s="251"/>
    </row>
    <row r="4" spans="1:10" ht="12.75">
      <c r="A4" s="344" t="str">
        <f>'dados de entrada'!B8</f>
        <v>PAVIMENTAÇÃO COM LAJOTAS SEXTAVADAS E DRENAGEM PLUVIAL </v>
      </c>
      <c r="B4" s="344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1172" t="s">
        <v>27</v>
      </c>
      <c r="B5" s="1172"/>
      <c r="C5" s="1172"/>
      <c r="D5" s="1172"/>
      <c r="E5" s="1172"/>
      <c r="F5" s="1172"/>
      <c r="G5" s="251"/>
      <c r="H5" s="251"/>
      <c r="I5" s="251"/>
      <c r="J5" s="251"/>
    </row>
    <row r="6" spans="1:10" ht="12.75">
      <c r="A6" s="1171"/>
      <c r="B6" s="1171"/>
      <c r="C6" s="1171"/>
      <c r="D6" s="1171"/>
      <c r="E6" s="1171"/>
      <c r="F6" s="1171"/>
      <c r="G6" s="251"/>
      <c r="H6" s="251"/>
      <c r="I6" s="251"/>
      <c r="J6" s="251"/>
    </row>
    <row r="7" spans="1:10" ht="12.75">
      <c r="A7" s="1171" t="s">
        <v>28</v>
      </c>
      <c r="B7" s="1171"/>
      <c r="C7" s="1171"/>
      <c r="D7" s="1171" t="s">
        <v>29</v>
      </c>
      <c r="E7" s="1171"/>
      <c r="F7" s="308" t="s">
        <v>13</v>
      </c>
      <c r="G7" s="251"/>
      <c r="H7" s="251"/>
      <c r="I7" s="251"/>
      <c r="J7" s="251"/>
    </row>
    <row r="8" spans="1:10" ht="13.5" thickBot="1">
      <c r="A8" s="1173" t="s">
        <v>458</v>
      </c>
      <c r="B8" s="1173"/>
      <c r="C8" s="1173"/>
      <c r="D8" s="1171" t="s">
        <v>4</v>
      </c>
      <c r="E8" s="1171"/>
      <c r="F8" s="609">
        <f>'dados de entrada'!B3</f>
        <v>41671</v>
      </c>
      <c r="G8" s="251"/>
      <c r="H8" s="251"/>
      <c r="I8" s="251"/>
      <c r="J8" s="251"/>
    </row>
    <row r="9" spans="1:11" ht="13.5" thickBot="1">
      <c r="A9" s="1171"/>
      <c r="B9" s="1171"/>
      <c r="C9" s="1171"/>
      <c r="D9" s="1171"/>
      <c r="E9" s="1171"/>
      <c r="F9" s="1171"/>
      <c r="G9" s="251"/>
      <c r="H9" s="1169" t="s">
        <v>220</v>
      </c>
      <c r="I9" s="1170"/>
      <c r="J9" s="249">
        <f>Escavação!W24</f>
        <v>1.12</v>
      </c>
      <c r="K9" s="248" t="s">
        <v>426</v>
      </c>
    </row>
    <row r="10" spans="1:11" ht="13.5" thickBot="1">
      <c r="A10" s="308" t="s">
        <v>0</v>
      </c>
      <c r="B10" s="308" t="s">
        <v>30</v>
      </c>
      <c r="C10" s="308" t="s">
        <v>31</v>
      </c>
      <c r="D10" s="308" t="s">
        <v>32</v>
      </c>
      <c r="E10" s="308" t="s">
        <v>33</v>
      </c>
      <c r="F10" s="308" t="s">
        <v>34</v>
      </c>
      <c r="G10" s="251"/>
      <c r="H10" s="1169" t="s">
        <v>221</v>
      </c>
      <c r="I10" s="1170"/>
      <c r="J10" s="249">
        <f>((J9-0.2)*4*O13)-P14</f>
        <v>491.9200000000001</v>
      </c>
      <c r="K10" s="248" t="s">
        <v>427</v>
      </c>
    </row>
    <row r="11" spans="1:10" ht="12.75">
      <c r="A11" s="357">
        <v>73599</v>
      </c>
      <c r="B11" s="360" t="s">
        <v>425</v>
      </c>
      <c r="C11" s="347">
        <f>ROUNDUP(J9*1.7*1.7,1)</f>
        <v>3.3000000000000003</v>
      </c>
      <c r="D11" s="348" t="s">
        <v>9</v>
      </c>
      <c r="E11" s="355">
        <v>7.67</v>
      </c>
      <c r="F11" s="350">
        <f aca="true" t="shared" si="0" ref="F11:F21">C11*E11</f>
        <v>25.311000000000003</v>
      </c>
      <c r="G11" s="251"/>
      <c r="H11" s="251"/>
      <c r="I11" s="251"/>
      <c r="J11" s="251"/>
    </row>
    <row r="12" spans="1:15" ht="12.75" customHeight="1">
      <c r="A12" s="351" t="s">
        <v>197</v>
      </c>
      <c r="B12" s="352" t="s">
        <v>428</v>
      </c>
      <c r="C12" s="353">
        <f>1.7*1.7*0.1</f>
        <v>0.289</v>
      </c>
      <c r="D12" s="354" t="s">
        <v>9</v>
      </c>
      <c r="E12" s="355">
        <v>97.19</v>
      </c>
      <c r="F12" s="356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357" t="s">
        <v>35</v>
      </c>
      <c r="B13" s="352" t="s">
        <v>429</v>
      </c>
      <c r="C13" s="353">
        <f>1.7*1.7*0.1</f>
        <v>0.289</v>
      </c>
      <c r="D13" s="354" t="s">
        <v>9</v>
      </c>
      <c r="E13" s="355">
        <v>353.6</v>
      </c>
      <c r="F13" s="356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357">
        <v>34</v>
      </c>
      <c r="B14" s="352" t="s">
        <v>219</v>
      </c>
      <c r="C14" s="358">
        <v>37</v>
      </c>
      <c r="D14" s="354" t="s">
        <v>36</v>
      </c>
      <c r="E14" s="355">
        <v>3.66</v>
      </c>
      <c r="F14" s="356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359">
        <v>7258</v>
      </c>
      <c r="B15" s="360" t="s">
        <v>224</v>
      </c>
      <c r="C15" s="361">
        <f>ROUNDUP(J10,0)</f>
        <v>492</v>
      </c>
      <c r="D15" s="303" t="s">
        <v>4</v>
      </c>
      <c r="E15" s="658">
        <v>0.45</v>
      </c>
      <c r="F15" s="362">
        <f t="shared" si="0"/>
        <v>221.4</v>
      </c>
      <c r="G15" s="251"/>
      <c r="H15" s="251"/>
      <c r="I15" s="251"/>
      <c r="J15" s="251"/>
    </row>
    <row r="16" spans="1:11" ht="12.75" customHeight="1" thickBot="1">
      <c r="A16" s="357">
        <v>371</v>
      </c>
      <c r="B16" s="352" t="s">
        <v>225</v>
      </c>
      <c r="C16" s="358">
        <f>ROUNDUP(J16,0)</f>
        <v>123</v>
      </c>
      <c r="D16" s="354" t="s">
        <v>36</v>
      </c>
      <c r="E16" s="355">
        <v>0.35</v>
      </c>
      <c r="F16" s="356">
        <f t="shared" si="0"/>
        <v>43.05</v>
      </c>
      <c r="G16" s="251"/>
      <c r="H16" s="1169" t="s">
        <v>146</v>
      </c>
      <c r="I16" s="1170"/>
      <c r="J16" s="249">
        <f>C15*0.25</f>
        <v>123</v>
      </c>
      <c r="K16" s="248" t="s">
        <v>222</v>
      </c>
    </row>
    <row r="17" spans="1:10" ht="25.5">
      <c r="A17" s="357" t="s">
        <v>35</v>
      </c>
      <c r="B17" s="363" t="s">
        <v>430</v>
      </c>
      <c r="C17" s="353">
        <f>ROUNDUP((1.2*1.2*0.15)-(PI()*(((0.6/2)^2)*0.15)),1)</f>
        <v>0.2</v>
      </c>
      <c r="D17" s="354" t="s">
        <v>9</v>
      </c>
      <c r="E17" s="355">
        <v>353.6</v>
      </c>
      <c r="F17" s="356">
        <f t="shared" si="0"/>
        <v>70.72000000000001</v>
      </c>
      <c r="G17" s="251"/>
      <c r="H17" s="251"/>
      <c r="I17" s="251"/>
      <c r="J17" s="251"/>
    </row>
    <row r="18" spans="1:10" ht="12.75">
      <c r="A18" s="357">
        <v>34</v>
      </c>
      <c r="B18" s="352" t="s">
        <v>219</v>
      </c>
      <c r="C18" s="358">
        <v>19</v>
      </c>
      <c r="D18" s="354" t="s">
        <v>36</v>
      </c>
      <c r="E18" s="355">
        <v>3.66</v>
      </c>
      <c r="F18" s="356">
        <f t="shared" si="0"/>
        <v>69.54</v>
      </c>
      <c r="G18" s="251"/>
      <c r="H18" s="251"/>
      <c r="I18" s="251"/>
      <c r="J18" s="251"/>
    </row>
    <row r="19" spans="1:10" ht="12.75">
      <c r="A19" s="302"/>
      <c r="B19" s="360"/>
      <c r="C19" s="364"/>
      <c r="D19" s="365"/>
      <c r="E19" s="355"/>
      <c r="F19" s="366"/>
      <c r="G19" s="251"/>
      <c r="H19" s="251"/>
      <c r="I19" s="251"/>
      <c r="J19" s="251"/>
    </row>
    <row r="20" spans="1:10" ht="12.75">
      <c r="A20" s="359"/>
      <c r="B20" s="360"/>
      <c r="C20" s="364"/>
      <c r="D20" s="365"/>
      <c r="E20" s="355"/>
      <c r="F20" s="362">
        <f t="shared" si="0"/>
        <v>0</v>
      </c>
      <c r="G20" s="251"/>
      <c r="H20" s="251"/>
      <c r="I20" s="251"/>
      <c r="J20" s="251"/>
    </row>
    <row r="21" spans="1:10" ht="12.75">
      <c r="A21" s="367"/>
      <c r="B21" s="368"/>
      <c r="C21" s="369"/>
      <c r="D21" s="368"/>
      <c r="E21" s="370"/>
      <c r="F21" s="371">
        <f t="shared" si="0"/>
        <v>0</v>
      </c>
      <c r="G21" s="251"/>
      <c r="H21" s="251"/>
      <c r="I21" s="251"/>
      <c r="J21" s="251"/>
    </row>
    <row r="22" spans="1:10" ht="12.75">
      <c r="A22" s="1171" t="s">
        <v>37</v>
      </c>
      <c r="B22" s="1171"/>
      <c r="C22" s="1171"/>
      <c r="D22" s="1171"/>
      <c r="E22" s="1171"/>
      <c r="F22" s="372">
        <f>SUM(F11:F21)</f>
        <v>695.71931</v>
      </c>
      <c r="G22" s="251"/>
      <c r="H22" s="251"/>
      <c r="I22" s="251"/>
      <c r="J22" s="251"/>
    </row>
    <row r="23" spans="1:10" ht="12.75">
      <c r="A23" s="1171"/>
      <c r="B23" s="1171"/>
      <c r="C23" s="1171"/>
      <c r="D23" s="1171"/>
      <c r="E23" s="1171"/>
      <c r="F23" s="1171"/>
      <c r="G23" s="251"/>
      <c r="H23" s="251"/>
      <c r="I23" s="251"/>
      <c r="J23" s="251"/>
    </row>
    <row r="24" spans="1:10" ht="12.75">
      <c r="A24" s="308" t="s">
        <v>0</v>
      </c>
      <c r="B24" s="308" t="s">
        <v>18</v>
      </c>
      <c r="C24" s="308" t="s">
        <v>31</v>
      </c>
      <c r="D24" s="308" t="s">
        <v>32</v>
      </c>
      <c r="E24" s="308" t="s">
        <v>33</v>
      </c>
      <c r="F24" s="308" t="s">
        <v>34</v>
      </c>
      <c r="G24" s="251"/>
      <c r="H24" s="251"/>
      <c r="I24" s="251"/>
      <c r="J24" s="251"/>
    </row>
    <row r="25" spans="1:10" ht="12.75">
      <c r="A25" s="373"/>
      <c r="B25" s="374" t="s">
        <v>38</v>
      </c>
      <c r="C25" s="349">
        <v>1.1</v>
      </c>
      <c r="D25" s="375" t="s">
        <v>212</v>
      </c>
      <c r="E25" s="349">
        <v>0.78</v>
      </c>
      <c r="F25" s="376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357"/>
      <c r="B26" s="377"/>
      <c r="C26" s="378"/>
      <c r="D26" s="354"/>
      <c r="E26" s="378"/>
      <c r="F26" s="356">
        <f>C26*E26</f>
        <v>0</v>
      </c>
      <c r="G26" s="251"/>
      <c r="H26" s="251"/>
      <c r="I26" s="251"/>
      <c r="J26" s="251"/>
    </row>
    <row r="27" spans="1:10" ht="12.75">
      <c r="A27" s="302"/>
      <c r="B27" s="303"/>
      <c r="C27" s="379"/>
      <c r="D27" s="303"/>
      <c r="E27" s="379"/>
      <c r="F27" s="362">
        <f>C27*E27</f>
        <v>0</v>
      </c>
      <c r="G27" s="251"/>
      <c r="H27" s="251"/>
      <c r="I27" s="251"/>
      <c r="J27" s="251"/>
    </row>
    <row r="28" spans="1:10" ht="12.75">
      <c r="A28" s="302"/>
      <c r="B28" s="303"/>
      <c r="C28" s="379"/>
      <c r="D28" s="303"/>
      <c r="E28" s="379"/>
      <c r="F28" s="362">
        <f>C28*E28</f>
        <v>0</v>
      </c>
      <c r="G28" s="251"/>
      <c r="H28" s="251"/>
      <c r="I28" s="251"/>
      <c r="J28" s="251"/>
    </row>
    <row r="29" spans="1:10" ht="12.75">
      <c r="A29" s="367"/>
      <c r="B29" s="368"/>
      <c r="C29" s="370"/>
      <c r="D29" s="368"/>
      <c r="E29" s="370"/>
      <c r="F29" s="371">
        <f>C29*E29</f>
        <v>0</v>
      </c>
      <c r="G29" s="251"/>
      <c r="H29" s="251"/>
      <c r="I29" s="251"/>
      <c r="J29" s="251"/>
    </row>
    <row r="30" spans="1:10" ht="12.75">
      <c r="A30" s="1171" t="s">
        <v>39</v>
      </c>
      <c r="B30" s="1171"/>
      <c r="C30" s="1171"/>
      <c r="D30" s="1171"/>
      <c r="E30" s="1171"/>
      <c r="F30" s="372">
        <f>SUM(F25:F29)</f>
        <v>0.8580000000000001</v>
      </c>
      <c r="G30" s="251"/>
      <c r="H30" s="251"/>
      <c r="I30" s="251"/>
      <c r="J30" s="251"/>
    </row>
    <row r="31" spans="1:10" ht="12.75">
      <c r="A31" s="1171"/>
      <c r="B31" s="1171"/>
      <c r="C31" s="1171"/>
      <c r="D31" s="1171"/>
      <c r="E31" s="1171"/>
      <c r="F31" s="1171"/>
      <c r="G31" s="251"/>
      <c r="H31" s="251"/>
      <c r="I31" s="251"/>
      <c r="J31" s="251"/>
    </row>
    <row r="32" spans="1:10" ht="12.75">
      <c r="A32" s="308" t="s">
        <v>0</v>
      </c>
      <c r="B32" s="308" t="s">
        <v>40</v>
      </c>
      <c r="C32" s="308" t="s">
        <v>31</v>
      </c>
      <c r="D32" s="308" t="s">
        <v>32</v>
      </c>
      <c r="E32" s="308" t="s">
        <v>33</v>
      </c>
      <c r="F32" s="308" t="s">
        <v>34</v>
      </c>
      <c r="G32" s="251"/>
      <c r="H32" s="251"/>
      <c r="I32" s="251"/>
      <c r="J32" s="251"/>
    </row>
    <row r="33" spans="1:10" ht="12.75">
      <c r="A33" s="380">
        <v>6127</v>
      </c>
      <c r="B33" s="381" t="s">
        <v>41</v>
      </c>
      <c r="C33" s="382">
        <v>8.7</v>
      </c>
      <c r="D33" s="383" t="s">
        <v>212</v>
      </c>
      <c r="E33" s="388">
        <v>9.56</v>
      </c>
      <c r="F33" s="385">
        <f>C33*E33</f>
        <v>83.172</v>
      </c>
      <c r="G33" s="251"/>
      <c r="H33" s="251" t="s">
        <v>227</v>
      </c>
      <c r="I33" s="251" t="s">
        <v>431</v>
      </c>
      <c r="J33" s="251"/>
    </row>
    <row r="34" spans="1:10" ht="12.75">
      <c r="A34" s="386">
        <v>4750</v>
      </c>
      <c r="B34" s="387" t="s">
        <v>42</v>
      </c>
      <c r="C34" s="378">
        <v>7.3</v>
      </c>
      <c r="D34" s="354" t="s">
        <v>212</v>
      </c>
      <c r="E34" s="388">
        <v>11.79</v>
      </c>
      <c r="F34" s="356">
        <f>C34*E34</f>
        <v>86.067</v>
      </c>
      <c r="G34" s="251"/>
      <c r="H34" s="251" t="s">
        <v>228</v>
      </c>
      <c r="I34" s="251" t="s">
        <v>432</v>
      </c>
      <c r="J34" s="251"/>
    </row>
    <row r="35" spans="1:10" ht="12.75">
      <c r="A35" s="302"/>
      <c r="B35" s="389"/>
      <c r="C35" s="379"/>
      <c r="D35" s="303"/>
      <c r="E35" s="379"/>
      <c r="F35" s="356">
        <f>C35*E35</f>
        <v>0</v>
      </c>
      <c r="G35" s="251"/>
      <c r="H35" s="251"/>
      <c r="I35" s="251"/>
      <c r="J35" s="251"/>
    </row>
    <row r="36" spans="1:10" ht="12.75">
      <c r="A36" s="302"/>
      <c r="B36" s="389"/>
      <c r="C36" s="379"/>
      <c r="D36" s="303"/>
      <c r="E36" s="379"/>
      <c r="F36" s="356">
        <f>C36*E36</f>
        <v>0</v>
      </c>
      <c r="G36" s="251"/>
      <c r="H36" s="251"/>
      <c r="I36" s="251"/>
      <c r="J36" s="251"/>
    </row>
    <row r="37" spans="1:10" ht="12.75">
      <c r="A37" s="390"/>
      <c r="B37" s="391"/>
      <c r="C37" s="392"/>
      <c r="D37" s="393"/>
      <c r="E37" s="392"/>
      <c r="F37" s="394">
        <f>C37*E37</f>
        <v>0</v>
      </c>
      <c r="G37" s="251"/>
      <c r="H37" s="251"/>
      <c r="I37" s="251"/>
      <c r="J37" s="251"/>
    </row>
    <row r="38" spans="1:10" ht="12.75">
      <c r="A38" s="1171" t="s">
        <v>43</v>
      </c>
      <c r="B38" s="1171"/>
      <c r="C38" s="1171"/>
      <c r="D38" s="1171"/>
      <c r="E38" s="1171"/>
      <c r="F38" s="372">
        <f>SUM(F33:F37)</f>
        <v>169.23899999999998</v>
      </c>
      <c r="G38" s="251"/>
      <c r="H38" s="251"/>
      <c r="I38" s="251"/>
      <c r="J38" s="251"/>
    </row>
    <row r="39" spans="1:10" ht="12.75">
      <c r="A39" s="1171"/>
      <c r="B39" s="1171"/>
      <c r="C39" s="1171"/>
      <c r="D39" s="1171"/>
      <c r="E39" s="1171"/>
      <c r="F39" s="1171"/>
      <c r="G39" s="251"/>
      <c r="H39" s="251"/>
      <c r="I39" s="251"/>
      <c r="J39" s="251"/>
    </row>
    <row r="40" spans="1:10" ht="12.75">
      <c r="A40" s="1171" t="s">
        <v>44</v>
      </c>
      <c r="B40" s="1171"/>
      <c r="C40" s="1171"/>
      <c r="D40" s="1171"/>
      <c r="E40" s="1171"/>
      <c r="F40" s="372">
        <f>F38</f>
        <v>169.23899999999998</v>
      </c>
      <c r="G40" s="251"/>
      <c r="H40" s="251"/>
      <c r="I40" s="251"/>
      <c r="J40" s="251"/>
    </row>
    <row r="41" spans="1:10" ht="12.75">
      <c r="A41" s="1171"/>
      <c r="B41" s="1171"/>
      <c r="C41" s="1171"/>
      <c r="D41" s="1171"/>
      <c r="E41" s="1171"/>
      <c r="F41" s="1171"/>
      <c r="G41" s="251"/>
      <c r="H41" s="251"/>
      <c r="I41" s="251"/>
      <c r="J41" s="251"/>
    </row>
    <row r="42" spans="1:10" ht="12.75">
      <c r="A42" s="1171"/>
      <c r="B42" s="1171"/>
      <c r="C42" s="1171"/>
      <c r="D42" s="1171"/>
      <c r="E42" s="1171"/>
      <c r="F42" s="1171"/>
      <c r="G42" s="251"/>
      <c r="H42" s="251"/>
      <c r="I42" s="251"/>
      <c r="J42" s="251"/>
    </row>
    <row r="43" spans="1:10" ht="12.75">
      <c r="A43" s="1171" t="s">
        <v>45</v>
      </c>
      <c r="B43" s="1171"/>
      <c r="C43" s="1171"/>
      <c r="D43" s="1171"/>
      <c r="E43" s="1171"/>
      <c r="F43" s="372">
        <f>F40+F30+F22</f>
        <v>865.8163099999999</v>
      </c>
      <c r="G43" s="251"/>
      <c r="H43" s="251"/>
      <c r="I43" s="251"/>
      <c r="J43" s="251"/>
    </row>
    <row r="44" spans="1:10" ht="12.75">
      <c r="A44" s="1171"/>
      <c r="B44" s="1171"/>
      <c r="C44" s="1171"/>
      <c r="D44" s="1171"/>
      <c r="E44" s="1171"/>
      <c r="F44" s="1171"/>
      <c r="G44" s="251"/>
      <c r="H44" s="251"/>
      <c r="I44" s="251"/>
      <c r="J44" s="251"/>
    </row>
    <row r="45" spans="1:10" ht="12.75">
      <c r="A45" s="1171" t="s">
        <v>46</v>
      </c>
      <c r="B45" s="1171"/>
      <c r="C45" s="1171"/>
      <c r="D45" s="1171"/>
      <c r="E45" s="433">
        <f>'dados de entrada'!B10</f>
        <v>0.25</v>
      </c>
      <c r="F45" s="372">
        <f>F43*E45</f>
        <v>216.45407749999998</v>
      </c>
      <c r="G45" s="395" t="s">
        <v>229</v>
      </c>
      <c r="H45" s="251"/>
      <c r="I45" s="251"/>
      <c r="J45" s="251"/>
    </row>
    <row r="46" spans="1:10" ht="12.75">
      <c r="A46" s="1171"/>
      <c r="B46" s="1171"/>
      <c r="C46" s="1171"/>
      <c r="D46" s="1171"/>
      <c r="E46" s="1171"/>
      <c r="F46" s="1171"/>
      <c r="G46" s="251"/>
      <c r="H46" s="251"/>
      <c r="I46" s="251"/>
      <c r="J46" s="251"/>
    </row>
    <row r="47" spans="1:10" ht="12.75">
      <c r="A47" s="1171" t="s">
        <v>47</v>
      </c>
      <c r="B47" s="1171"/>
      <c r="C47" s="1171"/>
      <c r="D47" s="1171"/>
      <c r="E47" s="1171"/>
      <c r="F47" s="372">
        <f>F43+F45</f>
        <v>1082.2703875</v>
      </c>
      <c r="G47" s="251"/>
      <c r="H47" s="251"/>
      <c r="I47" s="251"/>
      <c r="J47" s="251"/>
    </row>
    <row r="48" spans="1:6" ht="12.75">
      <c r="A48" s="1171"/>
      <c r="B48" s="1171"/>
      <c r="C48" s="1171"/>
      <c r="D48" s="1171"/>
      <c r="E48" s="1171"/>
      <c r="F48" s="1171"/>
    </row>
  </sheetData>
  <sheetProtection/>
  <mergeCells count="25">
    <mergeCell ref="D1:F1"/>
    <mergeCell ref="A43:E43"/>
    <mergeCell ref="A44:F44"/>
    <mergeCell ref="A45:D45"/>
    <mergeCell ref="A46:F46"/>
    <mergeCell ref="A47:E47"/>
    <mergeCell ref="A9:F9"/>
    <mergeCell ref="D8:E8"/>
    <mergeCell ref="A48:F48"/>
    <mergeCell ref="A30:E30"/>
    <mergeCell ref="A31:F31"/>
    <mergeCell ref="A38:E38"/>
    <mergeCell ref="A39:F39"/>
    <mergeCell ref="A40:E40"/>
    <mergeCell ref="A41:F42"/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13" sqref="H13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2" t="s">
        <v>21</v>
      </c>
      <c r="C1" s="342" t="s">
        <v>22</v>
      </c>
      <c r="D1" s="1175" t="str">
        <f>'dados de entrada'!B9</f>
        <v>SINAPI - 01/01/2014 - COM DESONERAÇÃO</v>
      </c>
      <c r="E1" s="1175"/>
      <c r="F1" s="1175"/>
      <c r="G1" s="251"/>
      <c r="H1" s="343" t="s">
        <v>230</v>
      </c>
      <c r="I1" s="251"/>
      <c r="J1" s="251"/>
    </row>
    <row r="2" spans="1:10" ht="12.75">
      <c r="A2" s="344" t="str">
        <f>'dados de entrada'!B15</f>
        <v>PREFEITURA MUNICIPAL DE BOMBINHAS</v>
      </c>
      <c r="B2" s="344"/>
      <c r="C2" s="251"/>
      <c r="D2" s="251"/>
      <c r="E2" s="251" t="s">
        <v>23</v>
      </c>
      <c r="F2" s="345" t="s">
        <v>24</v>
      </c>
      <c r="G2" s="251"/>
      <c r="H2" s="251"/>
      <c r="I2" s="251"/>
      <c r="J2" s="251"/>
    </row>
    <row r="3" spans="1:10" ht="12.75">
      <c r="A3" s="344" t="str">
        <f>'dados de entrada'!C19</f>
        <v>RUA CAJÚ - BAIRRO SERTÃOZINHO</v>
      </c>
      <c r="B3" s="344"/>
      <c r="C3" s="251"/>
      <c r="D3" s="251"/>
      <c r="E3" s="251" t="s">
        <v>25</v>
      </c>
      <c r="F3" s="346" t="s">
        <v>26</v>
      </c>
      <c r="G3" s="251"/>
      <c r="H3" s="251"/>
      <c r="I3" s="251"/>
      <c r="J3" s="251"/>
    </row>
    <row r="4" spans="1:10" ht="12.75">
      <c r="A4" s="344" t="str">
        <f>'dados de entrada'!B8</f>
        <v>PAVIMENTAÇÃO COM LAJOTAS SEXTAVADAS E DRENAGEM PLUVIAL </v>
      </c>
      <c r="B4" s="344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72" t="s">
        <v>27</v>
      </c>
      <c r="B5" s="1172"/>
      <c r="C5" s="1172"/>
      <c r="D5" s="1172"/>
      <c r="E5" s="1172"/>
      <c r="F5" s="1172"/>
      <c r="G5" s="251"/>
      <c r="H5" s="251"/>
      <c r="I5" s="251"/>
      <c r="J5" s="251"/>
    </row>
    <row r="6" spans="1:10" ht="13.5" thickBot="1">
      <c r="A6" s="1171"/>
      <c r="B6" s="1171"/>
      <c r="C6" s="1171"/>
      <c r="D6" s="1171"/>
      <c r="E6" s="1171"/>
      <c r="F6" s="1171"/>
      <c r="G6" s="251"/>
      <c r="H6" s="251"/>
      <c r="I6" s="251"/>
      <c r="J6" s="432">
        <f>Escavação!W24</f>
        <v>1.12</v>
      </c>
    </row>
    <row r="7" spans="1:10" ht="12.75">
      <c r="A7" s="1171" t="s">
        <v>28</v>
      </c>
      <c r="B7" s="1171"/>
      <c r="C7" s="1171"/>
      <c r="D7" s="1171" t="s">
        <v>29</v>
      </c>
      <c r="E7" s="1171"/>
      <c r="F7" s="308" t="s">
        <v>13</v>
      </c>
      <c r="G7" s="251"/>
      <c r="H7" s="251"/>
      <c r="I7" s="251"/>
      <c r="J7" s="251"/>
    </row>
    <row r="8" spans="1:10" ht="13.5" thickBot="1">
      <c r="A8" s="1173" t="s">
        <v>459</v>
      </c>
      <c r="B8" s="1173"/>
      <c r="C8" s="1173"/>
      <c r="D8" s="1171" t="s">
        <v>4</v>
      </c>
      <c r="E8" s="1171"/>
      <c r="F8" s="609">
        <f>'dados de entrada'!B3</f>
        <v>41671</v>
      </c>
      <c r="G8" s="251"/>
      <c r="H8" s="251"/>
      <c r="I8" s="251"/>
      <c r="J8" s="251"/>
    </row>
    <row r="9" spans="1:11" ht="13.5" thickBot="1">
      <c r="A9" s="1171"/>
      <c r="B9" s="1171"/>
      <c r="C9" s="1171"/>
      <c r="D9" s="1171"/>
      <c r="E9" s="1171"/>
      <c r="F9" s="1171"/>
      <c r="G9" s="251"/>
      <c r="H9" s="1169" t="s">
        <v>460</v>
      </c>
      <c r="I9" s="1170"/>
      <c r="J9" s="249">
        <v>0.9</v>
      </c>
      <c r="K9" s="248" t="s">
        <v>426</v>
      </c>
    </row>
    <row r="10" spans="1:11" ht="13.5" thickBot="1">
      <c r="A10" s="308" t="s">
        <v>0</v>
      </c>
      <c r="B10" s="308" t="s">
        <v>30</v>
      </c>
      <c r="C10" s="308" t="s">
        <v>31</v>
      </c>
      <c r="D10" s="308" t="s">
        <v>32</v>
      </c>
      <c r="E10" s="308" t="s">
        <v>33</v>
      </c>
      <c r="F10" s="308" t="s">
        <v>34</v>
      </c>
      <c r="G10" s="251"/>
      <c r="H10" s="1169" t="s">
        <v>221</v>
      </c>
      <c r="I10" s="1170"/>
      <c r="J10" s="249">
        <f>((J9-0.2)*4*O13)-P14</f>
        <v>365.2</v>
      </c>
      <c r="K10" s="248" t="s">
        <v>427</v>
      </c>
    </row>
    <row r="11" spans="1:10" ht="12.75">
      <c r="A11" s="357">
        <v>73599</v>
      </c>
      <c r="B11" s="360" t="s">
        <v>425</v>
      </c>
      <c r="C11" s="347">
        <f>ROUNDUP(1.7*1.7*J6,1)</f>
        <v>3.3000000000000003</v>
      </c>
      <c r="D11" s="348" t="s">
        <v>9</v>
      </c>
      <c r="E11" s="355">
        <v>7.67</v>
      </c>
      <c r="F11" s="350">
        <f aca="true" t="shared" si="0" ref="F11:F21">C11*E11</f>
        <v>25.311000000000003</v>
      </c>
      <c r="G11" s="251"/>
      <c r="H11" s="251"/>
      <c r="I11" s="251"/>
      <c r="J11" s="251"/>
    </row>
    <row r="12" spans="1:15" ht="12.75" customHeight="1">
      <c r="A12" s="351" t="s">
        <v>197</v>
      </c>
      <c r="B12" s="352" t="s">
        <v>428</v>
      </c>
      <c r="C12" s="353">
        <f>1.7*1.7*0.1</f>
        <v>0.289</v>
      </c>
      <c r="D12" s="354" t="s">
        <v>9</v>
      </c>
      <c r="E12" s="355">
        <v>97.19</v>
      </c>
      <c r="F12" s="356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357" t="s">
        <v>35</v>
      </c>
      <c r="B13" s="352" t="s">
        <v>429</v>
      </c>
      <c r="C13" s="353">
        <f>1.7*1.7*0.1</f>
        <v>0.289</v>
      </c>
      <c r="D13" s="354" t="s">
        <v>9</v>
      </c>
      <c r="E13" s="355">
        <v>353.6</v>
      </c>
      <c r="F13" s="356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357">
        <v>34</v>
      </c>
      <c r="B14" s="352" t="s">
        <v>219</v>
      </c>
      <c r="C14" s="358">
        <v>37</v>
      </c>
      <c r="D14" s="354" t="s">
        <v>36</v>
      </c>
      <c r="E14" s="355">
        <v>3.66</v>
      </c>
      <c r="F14" s="356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359">
        <v>7258</v>
      </c>
      <c r="B15" s="360" t="s">
        <v>224</v>
      </c>
      <c r="C15" s="361">
        <f>ROUNDUP(J10,0)</f>
        <v>366</v>
      </c>
      <c r="D15" s="303" t="s">
        <v>4</v>
      </c>
      <c r="E15" s="658">
        <v>0.45</v>
      </c>
      <c r="F15" s="362">
        <f t="shared" si="0"/>
        <v>164.70000000000002</v>
      </c>
      <c r="G15" s="251"/>
      <c r="H15" s="251"/>
      <c r="I15" s="251"/>
      <c r="J15" s="251"/>
    </row>
    <row r="16" spans="1:11" ht="12.75" customHeight="1" thickBot="1">
      <c r="A16" s="357">
        <v>371</v>
      </c>
      <c r="B16" s="352" t="s">
        <v>225</v>
      </c>
      <c r="C16" s="358">
        <f>ROUNDUP(J16,0)</f>
        <v>92</v>
      </c>
      <c r="D16" s="354" t="s">
        <v>36</v>
      </c>
      <c r="E16" s="355">
        <v>0.35</v>
      </c>
      <c r="F16" s="356">
        <f t="shared" si="0"/>
        <v>32.199999999999996</v>
      </c>
      <c r="G16" s="251"/>
      <c r="H16" s="1169" t="s">
        <v>146</v>
      </c>
      <c r="I16" s="1170"/>
      <c r="J16" s="249">
        <f>C15*0.25</f>
        <v>91.5</v>
      </c>
      <c r="K16" s="248" t="s">
        <v>222</v>
      </c>
    </row>
    <row r="17" spans="1:10" ht="25.5">
      <c r="A17" s="357" t="s">
        <v>35</v>
      </c>
      <c r="B17" s="363" t="s">
        <v>416</v>
      </c>
      <c r="C17" s="353">
        <f>1.2*1.2*0.15</f>
        <v>0.216</v>
      </c>
      <c r="D17" s="354" t="s">
        <v>9</v>
      </c>
      <c r="E17" s="355">
        <v>353.6</v>
      </c>
      <c r="F17" s="356">
        <f t="shared" si="0"/>
        <v>76.3776</v>
      </c>
      <c r="G17" s="251"/>
      <c r="H17" s="251"/>
      <c r="I17" s="251"/>
      <c r="J17" s="251"/>
    </row>
    <row r="18" spans="1:10" ht="12.75">
      <c r="A18" s="357">
        <v>34</v>
      </c>
      <c r="B18" s="352" t="s">
        <v>219</v>
      </c>
      <c r="C18" s="358">
        <v>19</v>
      </c>
      <c r="D18" s="354" t="s">
        <v>36</v>
      </c>
      <c r="E18" s="355">
        <v>3.66</v>
      </c>
      <c r="F18" s="356">
        <f>C18*E18</f>
        <v>69.54</v>
      </c>
      <c r="G18" s="251"/>
      <c r="H18" s="251"/>
      <c r="I18" s="251"/>
      <c r="J18" s="251"/>
    </row>
    <row r="19" spans="1:10" ht="12.75">
      <c r="A19" s="302"/>
      <c r="B19" s="360"/>
      <c r="C19" s="364"/>
      <c r="D19" s="365"/>
      <c r="E19" s="355"/>
      <c r="F19" s="356"/>
      <c r="G19" s="251"/>
      <c r="H19" s="251"/>
      <c r="I19" s="251"/>
      <c r="J19" s="251"/>
    </row>
    <row r="20" spans="1:10" ht="12.75">
      <c r="A20" s="359"/>
      <c r="B20" s="360"/>
      <c r="C20" s="364"/>
      <c r="D20" s="365"/>
      <c r="E20" s="355"/>
      <c r="F20" s="362">
        <f t="shared" si="0"/>
        <v>0</v>
      </c>
      <c r="G20" s="251"/>
      <c r="H20" s="251"/>
      <c r="I20" s="251"/>
      <c r="J20" s="251"/>
    </row>
    <row r="21" spans="1:10" ht="12.75">
      <c r="A21" s="367"/>
      <c r="B21" s="368"/>
      <c r="C21" s="369"/>
      <c r="D21" s="368"/>
      <c r="E21" s="370"/>
      <c r="F21" s="371">
        <f t="shared" si="0"/>
        <v>0</v>
      </c>
      <c r="G21" s="251"/>
      <c r="H21" s="251"/>
      <c r="I21" s="251"/>
      <c r="J21" s="251"/>
    </row>
    <row r="22" spans="1:10" ht="12.75">
      <c r="A22" s="1171" t="s">
        <v>37</v>
      </c>
      <c r="B22" s="1171"/>
      <c r="C22" s="1171"/>
      <c r="D22" s="1171"/>
      <c r="E22" s="1171"/>
      <c r="F22" s="372">
        <f>SUM(F11:F21)</f>
        <v>633.82691</v>
      </c>
      <c r="G22" s="251"/>
      <c r="H22" s="251"/>
      <c r="I22" s="251"/>
      <c r="J22" s="251"/>
    </row>
    <row r="23" spans="1:10" ht="12.75">
      <c r="A23" s="1171"/>
      <c r="B23" s="1171"/>
      <c r="C23" s="1171"/>
      <c r="D23" s="1171"/>
      <c r="E23" s="1171"/>
      <c r="F23" s="1171"/>
      <c r="G23" s="251"/>
      <c r="H23" s="251"/>
      <c r="I23" s="251"/>
      <c r="J23" s="251"/>
    </row>
    <row r="24" spans="1:10" ht="12.75">
      <c r="A24" s="308" t="s">
        <v>0</v>
      </c>
      <c r="B24" s="308" t="s">
        <v>18</v>
      </c>
      <c r="C24" s="308" t="s">
        <v>31</v>
      </c>
      <c r="D24" s="308" t="s">
        <v>32</v>
      </c>
      <c r="E24" s="308" t="s">
        <v>33</v>
      </c>
      <c r="F24" s="308" t="s">
        <v>34</v>
      </c>
      <c r="G24" s="251"/>
      <c r="H24" s="251"/>
      <c r="I24" s="251"/>
      <c r="J24" s="251"/>
    </row>
    <row r="25" spans="1:10" ht="12.75">
      <c r="A25" s="373"/>
      <c r="B25" s="374" t="s">
        <v>38</v>
      </c>
      <c r="C25" s="349">
        <v>1.1</v>
      </c>
      <c r="D25" s="375" t="s">
        <v>212</v>
      </c>
      <c r="E25" s="349">
        <v>0.78</v>
      </c>
      <c r="F25" s="376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357"/>
      <c r="B26" s="377"/>
      <c r="C26" s="378"/>
      <c r="D26" s="354"/>
      <c r="E26" s="378"/>
      <c r="F26" s="356">
        <f>C26*E26</f>
        <v>0</v>
      </c>
      <c r="G26" s="251"/>
      <c r="H26" s="251"/>
      <c r="I26" s="251"/>
      <c r="J26" s="251"/>
    </row>
    <row r="27" spans="1:10" ht="12.75">
      <c r="A27" s="302"/>
      <c r="B27" s="303"/>
      <c r="C27" s="379"/>
      <c r="D27" s="303"/>
      <c r="E27" s="379"/>
      <c r="F27" s="362">
        <f>C27*E27</f>
        <v>0</v>
      </c>
      <c r="G27" s="251"/>
      <c r="H27" s="251"/>
      <c r="I27" s="251"/>
      <c r="J27" s="251"/>
    </row>
    <row r="28" spans="1:10" ht="12.75">
      <c r="A28" s="302"/>
      <c r="B28" s="303"/>
      <c r="C28" s="379"/>
      <c r="D28" s="303"/>
      <c r="E28" s="379"/>
      <c r="F28" s="362">
        <f>C28*E28</f>
        <v>0</v>
      </c>
      <c r="G28" s="251"/>
      <c r="H28" s="251"/>
      <c r="I28" s="251"/>
      <c r="J28" s="251"/>
    </row>
    <row r="29" spans="1:10" ht="12.75">
      <c r="A29" s="367"/>
      <c r="B29" s="368"/>
      <c r="C29" s="370"/>
      <c r="D29" s="368"/>
      <c r="E29" s="370"/>
      <c r="F29" s="371">
        <f>C29*E29</f>
        <v>0</v>
      </c>
      <c r="G29" s="251"/>
      <c r="H29" s="251"/>
      <c r="I29" s="251"/>
      <c r="J29" s="251"/>
    </row>
    <row r="30" spans="1:10" ht="12.75">
      <c r="A30" s="1171" t="s">
        <v>39</v>
      </c>
      <c r="B30" s="1171"/>
      <c r="C30" s="1171"/>
      <c r="D30" s="1171"/>
      <c r="E30" s="1171"/>
      <c r="F30" s="372">
        <f>SUM(F25:F29)</f>
        <v>0.8580000000000001</v>
      </c>
      <c r="G30" s="251"/>
      <c r="H30" s="251"/>
      <c r="I30" s="251"/>
      <c r="J30" s="251"/>
    </row>
    <row r="31" spans="1:10" ht="12.75">
      <c r="A31" s="1171"/>
      <c r="B31" s="1171"/>
      <c r="C31" s="1171"/>
      <c r="D31" s="1171"/>
      <c r="E31" s="1171"/>
      <c r="F31" s="1171"/>
      <c r="G31" s="251"/>
      <c r="H31" s="251"/>
      <c r="I31" s="251"/>
      <c r="J31" s="251"/>
    </row>
    <row r="32" spans="1:10" ht="12.75">
      <c r="A32" s="308" t="s">
        <v>0</v>
      </c>
      <c r="B32" s="308" t="s">
        <v>40</v>
      </c>
      <c r="C32" s="308" t="s">
        <v>31</v>
      </c>
      <c r="D32" s="308" t="s">
        <v>32</v>
      </c>
      <c r="E32" s="308" t="s">
        <v>33</v>
      </c>
      <c r="F32" s="308" t="s">
        <v>34</v>
      </c>
      <c r="G32" s="251"/>
      <c r="H32" s="251"/>
      <c r="I32" s="251"/>
      <c r="J32" s="251"/>
    </row>
    <row r="33" spans="1:10" ht="12.75">
      <c r="A33" s="380">
        <v>6127</v>
      </c>
      <c r="B33" s="381" t="s">
        <v>41</v>
      </c>
      <c r="C33" s="382">
        <v>5</v>
      </c>
      <c r="D33" s="383" t="s">
        <v>212</v>
      </c>
      <c r="E33" s="384">
        <v>9.56</v>
      </c>
      <c r="F33" s="385">
        <f>C33*E33</f>
        <v>47.800000000000004</v>
      </c>
      <c r="G33" s="251"/>
      <c r="H33" s="251" t="s">
        <v>227</v>
      </c>
      <c r="I33" s="251" t="s">
        <v>431</v>
      </c>
      <c r="J33" s="251"/>
    </row>
    <row r="34" spans="1:10" ht="12.75">
      <c r="A34" s="386">
        <v>4750</v>
      </c>
      <c r="B34" s="387" t="s">
        <v>42</v>
      </c>
      <c r="C34" s="378">
        <v>4</v>
      </c>
      <c r="D34" s="354" t="s">
        <v>212</v>
      </c>
      <c r="E34" s="388">
        <v>11.79</v>
      </c>
      <c r="F34" s="356">
        <f>C34*E34</f>
        <v>47.16</v>
      </c>
      <c r="G34" s="251"/>
      <c r="H34" s="251" t="s">
        <v>228</v>
      </c>
      <c r="I34" s="251" t="s">
        <v>432</v>
      </c>
      <c r="J34" s="251"/>
    </row>
    <row r="35" spans="1:10" ht="12.75">
      <c r="A35" s="302"/>
      <c r="B35" s="389"/>
      <c r="C35" s="379"/>
      <c r="D35" s="303"/>
      <c r="E35" s="379"/>
      <c r="F35" s="356">
        <f>C35*E35</f>
        <v>0</v>
      </c>
      <c r="G35" s="251"/>
      <c r="H35" s="251"/>
      <c r="I35" s="251"/>
      <c r="J35" s="251"/>
    </row>
    <row r="36" spans="1:10" ht="12.75">
      <c r="A36" s="302"/>
      <c r="B36" s="389"/>
      <c r="C36" s="379"/>
      <c r="D36" s="303"/>
      <c r="E36" s="379"/>
      <c r="F36" s="356">
        <f>C36*E36</f>
        <v>0</v>
      </c>
      <c r="G36" s="251"/>
      <c r="H36" s="251"/>
      <c r="I36" s="251"/>
      <c r="J36" s="251"/>
    </row>
    <row r="37" spans="1:10" ht="12.75">
      <c r="A37" s="390"/>
      <c r="B37" s="391"/>
      <c r="C37" s="392"/>
      <c r="D37" s="393"/>
      <c r="E37" s="392"/>
      <c r="F37" s="394">
        <f>C37*E37</f>
        <v>0</v>
      </c>
      <c r="G37" s="251"/>
      <c r="H37" s="251"/>
      <c r="I37" s="251"/>
      <c r="J37" s="251"/>
    </row>
    <row r="38" spans="1:10" ht="12.75">
      <c r="A38" s="1171" t="s">
        <v>43</v>
      </c>
      <c r="B38" s="1171"/>
      <c r="C38" s="1171"/>
      <c r="D38" s="1171"/>
      <c r="E38" s="1171"/>
      <c r="F38" s="372">
        <f>SUM(F33:F37)</f>
        <v>94.96000000000001</v>
      </c>
      <c r="G38" s="251"/>
      <c r="H38" s="251"/>
      <c r="I38" s="251"/>
      <c r="J38" s="251"/>
    </row>
    <row r="39" spans="1:10" ht="12.75">
      <c r="A39" s="1171"/>
      <c r="B39" s="1171"/>
      <c r="C39" s="1171"/>
      <c r="D39" s="1171"/>
      <c r="E39" s="1171"/>
      <c r="F39" s="1171"/>
      <c r="G39" s="251"/>
      <c r="H39" s="251"/>
      <c r="I39" s="251"/>
      <c r="J39" s="251"/>
    </row>
    <row r="40" spans="1:10" ht="12.75">
      <c r="A40" s="1171" t="s">
        <v>44</v>
      </c>
      <c r="B40" s="1171"/>
      <c r="C40" s="1171"/>
      <c r="D40" s="1171"/>
      <c r="E40" s="1171"/>
      <c r="F40" s="372">
        <f>F38</f>
        <v>94.96000000000001</v>
      </c>
      <c r="G40" s="251"/>
      <c r="H40" s="251"/>
      <c r="I40" s="251"/>
      <c r="J40" s="251"/>
    </row>
    <row r="41" spans="1:10" ht="12.75">
      <c r="A41" s="1171"/>
      <c r="B41" s="1171"/>
      <c r="C41" s="1171"/>
      <c r="D41" s="1171"/>
      <c r="E41" s="1171"/>
      <c r="F41" s="1171"/>
      <c r="G41" s="251"/>
      <c r="H41" s="251"/>
      <c r="I41" s="251"/>
      <c r="J41" s="251"/>
    </row>
    <row r="42" spans="1:10" ht="12.75">
      <c r="A42" s="1171"/>
      <c r="B42" s="1171"/>
      <c r="C42" s="1171"/>
      <c r="D42" s="1171"/>
      <c r="E42" s="1171"/>
      <c r="F42" s="1171"/>
      <c r="G42" s="251"/>
      <c r="H42" s="251"/>
      <c r="I42" s="251"/>
      <c r="J42" s="251"/>
    </row>
    <row r="43" spans="1:10" ht="12.75">
      <c r="A43" s="1171" t="s">
        <v>45</v>
      </c>
      <c r="B43" s="1171"/>
      <c r="C43" s="1171"/>
      <c r="D43" s="1171"/>
      <c r="E43" s="1171"/>
      <c r="F43" s="372">
        <f>F40+F30+F22</f>
        <v>729.64491</v>
      </c>
      <c r="G43" s="251"/>
      <c r="H43" s="251"/>
      <c r="I43" s="251"/>
      <c r="J43" s="251"/>
    </row>
    <row r="44" spans="1:10" ht="12.75">
      <c r="A44" s="1171"/>
      <c r="B44" s="1171"/>
      <c r="C44" s="1171"/>
      <c r="D44" s="1171"/>
      <c r="E44" s="1171"/>
      <c r="F44" s="1171"/>
      <c r="G44" s="251"/>
      <c r="H44" s="251"/>
      <c r="I44" s="251"/>
      <c r="J44" s="251"/>
    </row>
    <row r="45" spans="1:10" ht="12.75">
      <c r="A45" s="1171" t="s">
        <v>46</v>
      </c>
      <c r="B45" s="1171"/>
      <c r="C45" s="1171"/>
      <c r="D45" s="1171"/>
      <c r="E45" s="433">
        <f>'dados de entrada'!B10</f>
        <v>0.25</v>
      </c>
      <c r="F45" s="372">
        <f>F43*E45</f>
        <v>182.4112275</v>
      </c>
      <c r="G45" s="395" t="s">
        <v>229</v>
      </c>
      <c r="H45" s="251"/>
      <c r="I45" s="251"/>
      <c r="J45" s="251"/>
    </row>
    <row r="46" spans="1:10" ht="12.75">
      <c r="A46" s="1171"/>
      <c r="B46" s="1171"/>
      <c r="C46" s="1171"/>
      <c r="D46" s="1171"/>
      <c r="E46" s="1171"/>
      <c r="F46" s="1171"/>
      <c r="G46" s="251"/>
      <c r="H46" s="251"/>
      <c r="I46" s="251"/>
      <c r="J46" s="251"/>
    </row>
    <row r="47" spans="1:10" ht="12.75">
      <c r="A47" s="1171" t="s">
        <v>47</v>
      </c>
      <c r="B47" s="1171"/>
      <c r="C47" s="1171"/>
      <c r="D47" s="1171"/>
      <c r="E47" s="1171"/>
      <c r="F47" s="372">
        <f>F43+F45</f>
        <v>912.0561375</v>
      </c>
      <c r="G47" s="251"/>
      <c r="H47" s="251"/>
      <c r="I47" s="251"/>
      <c r="J47" s="251"/>
    </row>
    <row r="48" spans="1:6" ht="12.75">
      <c r="A48" s="1171"/>
      <c r="B48" s="1171"/>
      <c r="C48" s="1171"/>
      <c r="D48" s="1171"/>
      <c r="E48" s="1171"/>
      <c r="F48" s="1171"/>
    </row>
  </sheetData>
  <sheetProtection/>
  <mergeCells count="25">
    <mergeCell ref="D1:F1"/>
    <mergeCell ref="A43:E43"/>
    <mergeCell ref="A44:F44"/>
    <mergeCell ref="A45:D45"/>
    <mergeCell ref="A46:F46"/>
    <mergeCell ref="A47:E47"/>
    <mergeCell ref="A9:F9"/>
    <mergeCell ref="D8:E8"/>
    <mergeCell ref="A48:F48"/>
    <mergeCell ref="A30:E30"/>
    <mergeCell ref="A31:F31"/>
    <mergeCell ref="A38:E38"/>
    <mergeCell ref="A39:F39"/>
    <mergeCell ref="A40:E40"/>
    <mergeCell ref="A41:F42"/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H42" sqref="H42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20"/>
      <c r="B1" s="693" t="s">
        <v>21</v>
      </c>
      <c r="C1" s="693" t="s">
        <v>22</v>
      </c>
      <c r="D1" s="1176" t="str">
        <f>'dados de entrada'!B9</f>
        <v>SINAPI - 01/01/2014 - COM DESONERAÇÃO</v>
      </c>
      <c r="E1" s="1176"/>
      <c r="F1" s="1177"/>
      <c r="G1" s="251"/>
      <c r="H1" s="343"/>
      <c r="I1" s="251"/>
      <c r="J1" s="251"/>
    </row>
    <row r="2" spans="1:10" ht="12.75">
      <c r="A2" s="694" t="str">
        <f>'dados de entrada'!B15</f>
        <v>PREFEITURA MUNICIPAL DE BOMBINHAS</v>
      </c>
      <c r="B2" s="695"/>
      <c r="C2" s="252"/>
      <c r="D2" s="252"/>
      <c r="E2" s="252" t="s">
        <v>23</v>
      </c>
      <c r="F2" s="696" t="s">
        <v>24</v>
      </c>
      <c r="G2" s="251"/>
      <c r="H2" s="251"/>
      <c r="I2" s="251"/>
      <c r="J2" s="251"/>
    </row>
    <row r="3" spans="1:10" ht="12.75">
      <c r="A3" s="694" t="str">
        <f>'dados de entrada'!C19</f>
        <v>RUA CAJÚ - BAIRRO SERTÃOZINHO</v>
      </c>
      <c r="B3" s="695"/>
      <c r="C3" s="252"/>
      <c r="D3" s="252"/>
      <c r="E3" s="252" t="s">
        <v>25</v>
      </c>
      <c r="F3" s="327" t="s">
        <v>26</v>
      </c>
      <c r="G3" s="251"/>
      <c r="H3" s="251"/>
      <c r="I3" s="251"/>
      <c r="J3" s="251"/>
    </row>
    <row r="4" spans="1:19" ht="12.75">
      <c r="A4" s="694" t="str">
        <f>'dados de entrada'!B8</f>
        <v>PAVIMENTAÇÃO COM LAJOTAS SEXTAVADAS E DRENAGEM PLUVIAL </v>
      </c>
      <c r="B4" s="695"/>
      <c r="C4" s="252"/>
      <c r="D4" s="252"/>
      <c r="E4" s="252"/>
      <c r="F4" s="697"/>
      <c r="G4" s="252"/>
      <c r="H4" s="252"/>
      <c r="I4" s="252"/>
      <c r="J4" s="252"/>
      <c r="K4" s="698"/>
      <c r="L4" s="698"/>
      <c r="M4" s="698"/>
      <c r="N4" s="698"/>
      <c r="O4" s="698"/>
      <c r="P4" s="698"/>
      <c r="Q4" s="698"/>
      <c r="R4" s="698"/>
      <c r="S4" s="698"/>
    </row>
    <row r="5" spans="1:19" ht="12.75">
      <c r="A5" s="1178" t="s">
        <v>27</v>
      </c>
      <c r="B5" s="1172"/>
      <c r="C5" s="1172"/>
      <c r="D5" s="1172"/>
      <c r="E5" s="1172"/>
      <c r="F5" s="1179"/>
      <c r="G5" s="252"/>
      <c r="H5" s="252"/>
      <c r="I5" s="252"/>
      <c r="J5" s="252"/>
      <c r="K5" s="698"/>
      <c r="L5" s="698"/>
      <c r="M5" s="698"/>
      <c r="N5" s="698"/>
      <c r="O5" s="698"/>
      <c r="P5" s="698"/>
      <c r="Q5" s="698"/>
      <c r="R5" s="698"/>
      <c r="S5" s="698"/>
    </row>
    <row r="6" spans="1:19" ht="12.75">
      <c r="A6" s="1180"/>
      <c r="B6" s="1171"/>
      <c r="C6" s="1171"/>
      <c r="D6" s="1171"/>
      <c r="E6" s="1171"/>
      <c r="F6" s="1181"/>
      <c r="G6" s="252"/>
      <c r="H6" s="252"/>
      <c r="I6" s="252"/>
      <c r="J6" s="699"/>
      <c r="K6" s="698"/>
      <c r="L6" s="698"/>
      <c r="M6" s="698"/>
      <c r="N6" s="698"/>
      <c r="O6" s="698"/>
      <c r="P6" s="698"/>
      <c r="Q6" s="698"/>
      <c r="R6" s="698"/>
      <c r="S6" s="698"/>
    </row>
    <row r="7" spans="1:19" ht="12.75">
      <c r="A7" s="1180" t="s">
        <v>28</v>
      </c>
      <c r="B7" s="1171"/>
      <c r="C7" s="1171"/>
      <c r="D7" s="1171" t="s">
        <v>29</v>
      </c>
      <c r="E7" s="1171"/>
      <c r="F7" s="700" t="s">
        <v>13</v>
      </c>
      <c r="G7" s="252"/>
      <c r="H7" s="252"/>
      <c r="I7" s="252"/>
      <c r="J7" s="252"/>
      <c r="K7" s="698"/>
      <c r="L7" s="698"/>
      <c r="M7" s="698"/>
      <c r="N7" s="698"/>
      <c r="O7" s="698"/>
      <c r="P7" s="698"/>
      <c r="Q7" s="698"/>
      <c r="R7" s="698"/>
      <c r="S7" s="698"/>
    </row>
    <row r="8" spans="1:19" ht="12.75">
      <c r="A8" s="1182" t="s">
        <v>566</v>
      </c>
      <c r="B8" s="1173"/>
      <c r="C8" s="1173"/>
      <c r="D8" s="1171" t="s">
        <v>3</v>
      </c>
      <c r="E8" s="1171"/>
      <c r="F8" s="701">
        <f>'dados de entrada'!B3</f>
        <v>41671</v>
      </c>
      <c r="G8" s="252"/>
      <c r="H8" s="252"/>
      <c r="I8" s="252"/>
      <c r="J8" s="252"/>
      <c r="K8" s="698"/>
      <c r="L8" s="698"/>
      <c r="M8" s="698"/>
      <c r="N8" s="698"/>
      <c r="O8" s="698"/>
      <c r="P8" s="698"/>
      <c r="Q8" s="698"/>
      <c r="R8" s="698"/>
      <c r="S8" s="698"/>
    </row>
    <row r="9" spans="1:19" ht="13.5" thickBot="1">
      <c r="A9" s="1183"/>
      <c r="B9" s="1184"/>
      <c r="C9" s="1184"/>
      <c r="D9" s="1184"/>
      <c r="E9" s="1184"/>
      <c r="F9" s="1185"/>
      <c r="G9" s="252"/>
      <c r="H9" s="1186"/>
      <c r="I9" s="1187"/>
      <c r="J9" s="682"/>
      <c r="K9" s="698"/>
      <c r="L9" s="698"/>
      <c r="M9" s="698"/>
      <c r="N9" s="698"/>
      <c r="O9" s="698"/>
      <c r="P9" s="698"/>
      <c r="Q9" s="698"/>
      <c r="R9" s="698"/>
      <c r="S9" s="698"/>
    </row>
    <row r="10" spans="1:19" ht="12.75">
      <c r="A10" s="638" t="s">
        <v>0</v>
      </c>
      <c r="B10" s="639" t="s">
        <v>30</v>
      </c>
      <c r="C10" s="639" t="s">
        <v>31</v>
      </c>
      <c r="D10" s="639" t="s">
        <v>32</v>
      </c>
      <c r="E10" s="639" t="s">
        <v>33</v>
      </c>
      <c r="F10" s="640" t="s">
        <v>34</v>
      </c>
      <c r="G10" s="252"/>
      <c r="H10" s="1186"/>
      <c r="I10" s="1187"/>
      <c r="J10" s="682"/>
      <c r="K10" s="698"/>
      <c r="L10" s="698"/>
      <c r="M10" s="698"/>
      <c r="N10" s="698"/>
      <c r="O10" s="698"/>
      <c r="P10" s="698"/>
      <c r="Q10" s="698"/>
      <c r="R10" s="698"/>
      <c r="S10" s="698"/>
    </row>
    <row r="11" spans="1:19" ht="12.75">
      <c r="A11" s="641">
        <v>367</v>
      </c>
      <c r="B11" s="642" t="s">
        <v>602</v>
      </c>
      <c r="C11" s="643">
        <v>0.0604</v>
      </c>
      <c r="D11" s="644" t="s">
        <v>9</v>
      </c>
      <c r="E11" s="645">
        <v>69.75</v>
      </c>
      <c r="F11" s="646">
        <f>C11*E11</f>
        <v>4.2129</v>
      </c>
      <c r="G11" s="252"/>
      <c r="H11" s="252"/>
      <c r="I11" s="252"/>
      <c r="J11" s="252"/>
      <c r="K11" s="698"/>
      <c r="L11" s="698"/>
      <c r="M11" s="698"/>
      <c r="N11" s="698"/>
      <c r="O11" s="698"/>
      <c r="P11" s="698"/>
      <c r="Q11" s="698"/>
      <c r="R11" s="698"/>
      <c r="S11" s="698"/>
    </row>
    <row r="12" spans="1:19" ht="12.75" customHeight="1">
      <c r="A12" s="641" t="s">
        <v>603</v>
      </c>
      <c r="B12" s="642" t="s">
        <v>457</v>
      </c>
      <c r="C12" s="650">
        <v>1.05</v>
      </c>
      <c r="D12" s="644" t="s">
        <v>3</v>
      </c>
      <c r="E12" s="645">
        <v>26</v>
      </c>
      <c r="F12" s="646">
        <f>C12*E12</f>
        <v>27.3</v>
      </c>
      <c r="G12" s="252"/>
      <c r="H12" s="252"/>
      <c r="I12" s="252"/>
      <c r="J12" s="252"/>
      <c r="K12" s="698"/>
      <c r="L12" s="698"/>
      <c r="M12" s="698"/>
      <c r="N12" s="698"/>
      <c r="O12" s="698"/>
      <c r="P12" s="698"/>
      <c r="Q12" s="698"/>
      <c r="R12" s="698"/>
      <c r="S12" s="698"/>
    </row>
    <row r="13" spans="1:19" ht="12.75" customHeight="1">
      <c r="A13" s="651"/>
      <c r="B13" s="642"/>
      <c r="C13" s="652"/>
      <c r="D13" s="308"/>
      <c r="E13" s="653"/>
      <c r="F13" s="654"/>
      <c r="G13" s="252"/>
      <c r="H13" s="252"/>
      <c r="I13" s="252"/>
      <c r="J13" s="252"/>
      <c r="K13" s="698"/>
      <c r="L13" s="698"/>
      <c r="M13" s="698"/>
      <c r="N13" s="698"/>
      <c r="O13" s="698"/>
      <c r="P13" s="698"/>
      <c r="Q13" s="698"/>
      <c r="R13" s="698"/>
      <c r="S13" s="698"/>
    </row>
    <row r="14" spans="1:19" ht="12.75" customHeight="1">
      <c r="A14" s="641"/>
      <c r="B14" s="648"/>
      <c r="C14" s="650"/>
      <c r="D14" s="644"/>
      <c r="E14" s="649"/>
      <c r="F14" s="646"/>
      <c r="G14" s="252"/>
      <c r="H14" s="1186"/>
      <c r="I14" s="1187"/>
      <c r="J14" s="682"/>
      <c r="K14" s="698"/>
      <c r="L14" s="698"/>
      <c r="M14" s="698"/>
      <c r="N14" s="698"/>
      <c r="O14" s="698"/>
      <c r="P14" s="698"/>
      <c r="Q14" s="698"/>
      <c r="R14" s="698"/>
      <c r="S14" s="698"/>
    </row>
    <row r="15" spans="1:19" ht="12.75">
      <c r="A15" s="641"/>
      <c r="B15" s="655"/>
      <c r="C15" s="643"/>
      <c r="D15" s="644"/>
      <c r="E15" s="649"/>
      <c r="F15" s="646"/>
      <c r="G15" s="252"/>
      <c r="H15" s="252"/>
      <c r="I15" s="252"/>
      <c r="J15" s="252"/>
      <c r="K15" s="698"/>
      <c r="L15" s="698"/>
      <c r="M15" s="698"/>
      <c r="N15" s="698"/>
      <c r="O15" s="698"/>
      <c r="P15" s="698"/>
      <c r="Q15" s="698"/>
      <c r="R15" s="698"/>
      <c r="S15" s="698"/>
    </row>
    <row r="16" spans="1:19" ht="12.75">
      <c r="A16" s="641"/>
      <c r="B16" s="648"/>
      <c r="C16" s="650"/>
      <c r="D16" s="644"/>
      <c r="E16" s="649"/>
      <c r="F16" s="646"/>
      <c r="G16" s="252"/>
      <c r="H16" s="252"/>
      <c r="I16" s="252"/>
      <c r="J16" s="252"/>
      <c r="K16" s="698"/>
      <c r="L16" s="698"/>
      <c r="M16" s="698"/>
      <c r="N16" s="698"/>
      <c r="O16" s="698"/>
      <c r="P16" s="698"/>
      <c r="Q16" s="698"/>
      <c r="R16" s="698"/>
      <c r="S16" s="698"/>
    </row>
    <row r="17" spans="1:19" ht="12.75">
      <c r="A17" s="656"/>
      <c r="B17" s="642"/>
      <c r="C17" s="657"/>
      <c r="D17" s="637"/>
      <c r="E17" s="645"/>
      <c r="F17" s="646"/>
      <c r="G17" s="252"/>
      <c r="H17" s="252"/>
      <c r="I17" s="252"/>
      <c r="J17" s="252"/>
      <c r="K17" s="698"/>
      <c r="L17" s="698"/>
      <c r="M17" s="698"/>
      <c r="N17" s="698"/>
      <c r="O17" s="698"/>
      <c r="P17" s="698"/>
      <c r="Q17" s="698"/>
      <c r="R17" s="698"/>
      <c r="S17" s="698"/>
    </row>
    <row r="18" spans="1:19" ht="12.75">
      <c r="A18" s="651"/>
      <c r="B18" s="642"/>
      <c r="C18" s="657"/>
      <c r="D18" s="637"/>
      <c r="E18" s="645"/>
      <c r="F18" s="654"/>
      <c r="G18" s="252"/>
      <c r="H18" s="252"/>
      <c r="I18" s="252"/>
      <c r="J18" s="252"/>
      <c r="K18" s="698"/>
      <c r="L18" s="698"/>
      <c r="M18" s="698"/>
      <c r="N18" s="698"/>
      <c r="O18" s="698"/>
      <c r="P18" s="698"/>
      <c r="Q18" s="698"/>
      <c r="R18" s="698"/>
      <c r="S18" s="698"/>
    </row>
    <row r="19" spans="1:19" ht="12.75">
      <c r="A19" s="656"/>
      <c r="B19" s="308"/>
      <c r="C19" s="652"/>
      <c r="D19" s="308"/>
      <c r="E19" s="372"/>
      <c r="F19" s="654"/>
      <c r="G19" s="252"/>
      <c r="H19" s="252"/>
      <c r="I19" s="252"/>
      <c r="J19" s="252"/>
      <c r="K19" s="698"/>
      <c r="L19" s="698"/>
      <c r="M19" s="698"/>
      <c r="N19" s="698"/>
      <c r="O19" s="698"/>
      <c r="P19" s="698"/>
      <c r="Q19" s="698"/>
      <c r="R19" s="698"/>
      <c r="S19" s="698"/>
    </row>
    <row r="20" spans="1:19" ht="12.75">
      <c r="A20" s="1180" t="s">
        <v>37</v>
      </c>
      <c r="B20" s="1171"/>
      <c r="C20" s="1171"/>
      <c r="D20" s="1171"/>
      <c r="E20" s="1171"/>
      <c r="F20" s="654">
        <f>SUM(F11:F19)</f>
        <v>31.512900000000002</v>
      </c>
      <c r="G20" s="252"/>
      <c r="H20" s="252"/>
      <c r="I20" s="252"/>
      <c r="J20" s="252"/>
      <c r="K20" s="698"/>
      <c r="L20" s="698"/>
      <c r="M20" s="698"/>
      <c r="N20" s="698"/>
      <c r="O20" s="698"/>
      <c r="P20" s="698"/>
      <c r="Q20" s="698"/>
      <c r="R20" s="698"/>
      <c r="S20" s="698"/>
    </row>
    <row r="21" spans="1:19" ht="13.5" thickBot="1">
      <c r="A21" s="1188"/>
      <c r="B21" s="1189"/>
      <c r="C21" s="1189"/>
      <c r="D21" s="1189"/>
      <c r="E21" s="1189"/>
      <c r="F21" s="1190"/>
      <c r="G21" s="252"/>
      <c r="H21" s="252"/>
      <c r="I21" s="252"/>
      <c r="J21" s="252"/>
      <c r="K21" s="698"/>
      <c r="L21" s="698"/>
      <c r="M21" s="698"/>
      <c r="N21" s="698"/>
      <c r="O21" s="698"/>
      <c r="P21" s="698"/>
      <c r="Q21" s="698"/>
      <c r="R21" s="698"/>
      <c r="S21" s="698"/>
    </row>
    <row r="22" spans="1:10" ht="12.75">
      <c r="A22" s="702" t="s">
        <v>0</v>
      </c>
      <c r="B22" s="298" t="s">
        <v>18</v>
      </c>
      <c r="C22" s="298" t="s">
        <v>31</v>
      </c>
      <c r="D22" s="298" t="s">
        <v>32</v>
      </c>
      <c r="E22" s="298" t="s">
        <v>33</v>
      </c>
      <c r="F22" s="703" t="s">
        <v>34</v>
      </c>
      <c r="G22" s="251"/>
      <c r="H22" s="251"/>
      <c r="I22" s="251"/>
      <c r="J22" s="251"/>
    </row>
    <row r="23" spans="1:10" ht="12.75">
      <c r="A23" s="704"/>
      <c r="B23" s="374"/>
      <c r="C23" s="349"/>
      <c r="D23" s="375"/>
      <c r="E23" s="349"/>
      <c r="F23" s="705"/>
      <c r="G23" s="251"/>
      <c r="H23" s="251"/>
      <c r="I23" s="251"/>
      <c r="J23" s="251"/>
    </row>
    <row r="24" spans="1:10" ht="12.75">
      <c r="A24" s="706"/>
      <c r="B24" s="377"/>
      <c r="C24" s="378"/>
      <c r="D24" s="354"/>
      <c r="E24" s="378"/>
      <c r="F24" s="707"/>
      <c r="G24" s="251"/>
      <c r="H24" s="251"/>
      <c r="I24" s="251"/>
      <c r="J24" s="251"/>
    </row>
    <row r="25" spans="1:10" ht="12.75">
      <c r="A25" s="328"/>
      <c r="B25" s="303"/>
      <c r="C25" s="379"/>
      <c r="D25" s="303"/>
      <c r="E25" s="379"/>
      <c r="F25" s="708"/>
      <c r="G25" s="251"/>
      <c r="H25" s="251"/>
      <c r="I25" s="251"/>
      <c r="J25" s="251"/>
    </row>
    <row r="26" spans="1:10" ht="12.75">
      <c r="A26" s="328"/>
      <c r="B26" s="303"/>
      <c r="C26" s="379"/>
      <c r="D26" s="303"/>
      <c r="E26" s="379"/>
      <c r="F26" s="708"/>
      <c r="G26" s="251"/>
      <c r="H26" s="251"/>
      <c r="I26" s="251"/>
      <c r="J26" s="251"/>
    </row>
    <row r="27" spans="1:10" ht="12.75">
      <c r="A27" s="709"/>
      <c r="B27" s="368"/>
      <c r="C27" s="370"/>
      <c r="D27" s="368"/>
      <c r="E27" s="370"/>
      <c r="F27" s="710"/>
      <c r="G27" s="251"/>
      <c r="H27" s="251"/>
      <c r="I27" s="251"/>
      <c r="J27" s="251"/>
    </row>
    <row r="28" spans="1:10" ht="12.75">
      <c r="A28" s="1180" t="s">
        <v>39</v>
      </c>
      <c r="B28" s="1171"/>
      <c r="C28" s="1171"/>
      <c r="D28" s="1171"/>
      <c r="E28" s="1171"/>
      <c r="F28" s="654">
        <f>SUM(F23:F27)</f>
        <v>0</v>
      </c>
      <c r="G28" s="251"/>
      <c r="H28" s="251"/>
      <c r="I28" s="251"/>
      <c r="J28" s="251"/>
    </row>
    <row r="29" spans="1:10" ht="13.5" thickBot="1">
      <c r="A29" s="1183"/>
      <c r="B29" s="1184"/>
      <c r="C29" s="1184"/>
      <c r="D29" s="1184"/>
      <c r="E29" s="1184"/>
      <c r="F29" s="1185"/>
      <c r="G29" s="251"/>
      <c r="H29" s="251"/>
      <c r="I29" s="251"/>
      <c r="J29" s="251"/>
    </row>
    <row r="30" spans="1:10" ht="12.75">
      <c r="A30" s="638" t="s">
        <v>0</v>
      </c>
      <c r="B30" s="639" t="s">
        <v>40</v>
      </c>
      <c r="C30" s="639" t="s">
        <v>31</v>
      </c>
      <c r="D30" s="639" t="s">
        <v>32</v>
      </c>
      <c r="E30" s="639" t="s">
        <v>33</v>
      </c>
      <c r="F30" s="640" t="s">
        <v>34</v>
      </c>
      <c r="G30" s="251"/>
      <c r="H30" s="251"/>
      <c r="I30" s="251"/>
      <c r="J30" s="251"/>
    </row>
    <row r="31" spans="1:10" ht="12.75">
      <c r="A31" s="647">
        <v>6111</v>
      </c>
      <c r="B31" s="648" t="s">
        <v>604</v>
      </c>
      <c r="C31" s="643">
        <v>0.35</v>
      </c>
      <c r="D31" s="644" t="s">
        <v>212</v>
      </c>
      <c r="E31" s="645">
        <v>8.83</v>
      </c>
      <c r="F31" s="654">
        <f>E31*C31</f>
        <v>3.0905</v>
      </c>
      <c r="G31" s="251"/>
      <c r="H31" s="251"/>
      <c r="I31" s="251"/>
      <c r="J31" s="251"/>
    </row>
    <row r="32" spans="1:10" ht="12.75">
      <c r="A32" s="641">
        <v>4750</v>
      </c>
      <c r="B32" s="648" t="s">
        <v>42</v>
      </c>
      <c r="C32" s="643">
        <v>0.16</v>
      </c>
      <c r="D32" s="644" t="s">
        <v>212</v>
      </c>
      <c r="E32" s="645">
        <v>11.79</v>
      </c>
      <c r="F32" s="654">
        <f>E32*C32</f>
        <v>1.8863999999999999</v>
      </c>
      <c r="G32" s="251"/>
      <c r="H32" s="251"/>
      <c r="I32" s="251"/>
      <c r="J32" s="251"/>
    </row>
    <row r="33" spans="1:10" ht="12.75">
      <c r="A33" s="656"/>
      <c r="B33" s="711"/>
      <c r="C33" s="372"/>
      <c r="D33" s="308"/>
      <c r="E33" s="372"/>
      <c r="F33" s="646">
        <f>C33*E33</f>
        <v>0</v>
      </c>
      <c r="G33" s="251"/>
      <c r="H33" s="251"/>
      <c r="I33" s="251"/>
      <c r="J33" s="251"/>
    </row>
    <row r="34" spans="1:10" ht="12.75">
      <c r="A34" s="656"/>
      <c r="B34" s="711"/>
      <c r="C34" s="372"/>
      <c r="D34" s="308"/>
      <c r="E34" s="372"/>
      <c r="F34" s="646">
        <f>C34*E34</f>
        <v>0</v>
      </c>
      <c r="G34" s="251"/>
      <c r="H34" s="251"/>
      <c r="I34" s="251"/>
      <c r="J34" s="251"/>
    </row>
    <row r="35" spans="1:10" ht="12.75">
      <c r="A35" s="641"/>
      <c r="B35" s="648"/>
      <c r="C35" s="712"/>
      <c r="D35" s="644"/>
      <c r="E35" s="712"/>
      <c r="F35" s="646">
        <f>C35*E35</f>
        <v>0</v>
      </c>
      <c r="G35" s="251"/>
      <c r="H35" s="251"/>
      <c r="I35" s="251"/>
      <c r="J35" s="251"/>
    </row>
    <row r="36" spans="1:10" ht="13.5" thickBot="1">
      <c r="A36" s="1188" t="s">
        <v>43</v>
      </c>
      <c r="B36" s="1189"/>
      <c r="C36" s="1189"/>
      <c r="D36" s="1189"/>
      <c r="E36" s="1189"/>
      <c r="F36" s="713">
        <f>SUM(F31:F35)</f>
        <v>4.9769</v>
      </c>
      <c r="G36" s="251"/>
      <c r="H36" s="251"/>
      <c r="I36" s="251"/>
      <c r="J36" s="251"/>
    </row>
    <row r="37" spans="1:10" ht="12.75">
      <c r="A37" s="1191"/>
      <c r="B37" s="1192"/>
      <c r="C37" s="1192"/>
      <c r="D37" s="1192"/>
      <c r="E37" s="1192"/>
      <c r="F37" s="1193"/>
      <c r="G37" s="251"/>
      <c r="H37" s="251"/>
      <c r="I37" s="251"/>
      <c r="J37" s="251"/>
    </row>
    <row r="38" spans="1:10" ht="12.75">
      <c r="A38" s="1180" t="s">
        <v>44</v>
      </c>
      <c r="B38" s="1171"/>
      <c r="C38" s="1171"/>
      <c r="D38" s="1171"/>
      <c r="E38" s="1171"/>
      <c r="F38" s="654">
        <f>F36</f>
        <v>4.9769</v>
      </c>
      <c r="G38" s="251"/>
      <c r="H38" s="251"/>
      <c r="I38" s="251"/>
      <c r="J38" s="251"/>
    </row>
    <row r="39" spans="1:10" ht="12.75">
      <c r="A39" s="1180"/>
      <c r="B39" s="1171"/>
      <c r="C39" s="1171"/>
      <c r="D39" s="1171"/>
      <c r="E39" s="1171"/>
      <c r="F39" s="1181"/>
      <c r="G39" s="251"/>
      <c r="H39" s="251"/>
      <c r="I39" s="251"/>
      <c r="J39" s="251"/>
    </row>
    <row r="40" spans="1:10" ht="12.75">
      <c r="A40" s="1180"/>
      <c r="B40" s="1171"/>
      <c r="C40" s="1171"/>
      <c r="D40" s="1171"/>
      <c r="E40" s="1171"/>
      <c r="F40" s="1181"/>
      <c r="G40" s="251"/>
      <c r="H40" s="251"/>
      <c r="I40" s="251"/>
      <c r="J40" s="251"/>
    </row>
    <row r="41" spans="1:10" ht="12.75">
      <c r="A41" s="1180" t="s">
        <v>45</v>
      </c>
      <c r="B41" s="1171"/>
      <c r="C41" s="1171"/>
      <c r="D41" s="1171"/>
      <c r="E41" s="1171"/>
      <c r="F41" s="654">
        <f>F38+F28+F20</f>
        <v>36.4898</v>
      </c>
      <c r="G41" s="251"/>
      <c r="H41" s="251"/>
      <c r="I41" s="251"/>
      <c r="J41" s="251"/>
    </row>
    <row r="42" spans="1:10" ht="12.75">
      <c r="A42" s="1180"/>
      <c r="B42" s="1171"/>
      <c r="C42" s="1171"/>
      <c r="D42" s="1171"/>
      <c r="E42" s="1171"/>
      <c r="F42" s="1181"/>
      <c r="G42" s="251"/>
      <c r="H42" s="251"/>
      <c r="I42" s="251"/>
      <c r="J42" s="251"/>
    </row>
    <row r="43" spans="1:10" ht="12.75">
      <c r="A43" s="1180" t="s">
        <v>46</v>
      </c>
      <c r="B43" s="1171"/>
      <c r="C43" s="1171"/>
      <c r="D43" s="1171"/>
      <c r="E43" s="433">
        <f>'dados de entrada'!B10</f>
        <v>0.25</v>
      </c>
      <c r="F43" s="654">
        <f>F41*E43</f>
        <v>9.12245</v>
      </c>
      <c r="G43" s="395"/>
      <c r="H43" s="251"/>
      <c r="I43" s="251"/>
      <c r="J43" s="251"/>
    </row>
    <row r="44" spans="1:10" ht="12.75">
      <c r="A44" s="1180"/>
      <c r="B44" s="1171"/>
      <c r="C44" s="1171"/>
      <c r="D44" s="1171"/>
      <c r="E44" s="1171"/>
      <c r="F44" s="1181"/>
      <c r="G44" s="251"/>
      <c r="H44" s="251"/>
      <c r="I44" s="251"/>
      <c r="J44" s="251"/>
    </row>
    <row r="45" spans="1:10" ht="12.75">
      <c r="A45" s="1180" t="s">
        <v>47</v>
      </c>
      <c r="B45" s="1171"/>
      <c r="C45" s="1171"/>
      <c r="D45" s="1171"/>
      <c r="E45" s="1171"/>
      <c r="F45" s="654">
        <f>F41+F43</f>
        <v>45.61225</v>
      </c>
      <c r="G45" s="251"/>
      <c r="H45" s="251"/>
      <c r="I45" s="251"/>
      <c r="J45" s="251"/>
    </row>
    <row r="46" spans="1:6" ht="13.5" thickBot="1">
      <c r="A46" s="1188"/>
      <c r="B46" s="1189"/>
      <c r="C46" s="1189"/>
      <c r="D46" s="1189"/>
      <c r="E46" s="1189"/>
      <c r="F46" s="1190"/>
    </row>
  </sheetData>
  <sheetProtection/>
  <mergeCells count="25">
    <mergeCell ref="A41:E41"/>
    <mergeCell ref="A42:F42"/>
    <mergeCell ref="A43:D43"/>
    <mergeCell ref="A44:F44"/>
    <mergeCell ref="A45:E45"/>
    <mergeCell ref="A46:F46"/>
    <mergeCell ref="A28:E28"/>
    <mergeCell ref="A29:F29"/>
    <mergeCell ref="A36:E36"/>
    <mergeCell ref="A37:F37"/>
    <mergeCell ref="A38:E38"/>
    <mergeCell ref="A39:F40"/>
    <mergeCell ref="A9:F9"/>
    <mergeCell ref="H9:I9"/>
    <mergeCell ref="H10:I10"/>
    <mergeCell ref="H14:I14"/>
    <mergeCell ref="A20:E20"/>
    <mergeCell ref="A21:F21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5" sqref="H5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2" t="s">
        <v>21</v>
      </c>
      <c r="C1" s="342" t="s">
        <v>22</v>
      </c>
      <c r="D1" s="1175" t="str">
        <f>'dados de entrada'!B9</f>
        <v>SINAPI - 01/01/2014 - COM DESONERAÇÃO</v>
      </c>
      <c r="E1" s="1175"/>
      <c r="F1" s="1175"/>
      <c r="G1" s="251"/>
      <c r="H1" s="343" t="s">
        <v>230</v>
      </c>
      <c r="I1" s="251"/>
      <c r="J1" s="251"/>
    </row>
    <row r="2" spans="1:10" ht="12.75">
      <c r="A2" s="344" t="str">
        <f>'dados de entrada'!B15</f>
        <v>PREFEITURA MUNICIPAL DE BOMBINHAS</v>
      </c>
      <c r="B2" s="344"/>
      <c r="C2" s="251"/>
      <c r="D2" s="251"/>
      <c r="E2" s="251" t="s">
        <v>23</v>
      </c>
      <c r="F2" s="345" t="s">
        <v>24</v>
      </c>
      <c r="G2" s="251"/>
      <c r="H2" s="251"/>
      <c r="I2" s="251"/>
      <c r="J2" s="251"/>
    </row>
    <row r="3" spans="1:10" ht="12.75">
      <c r="A3" s="344" t="str">
        <f>'dados de entrada'!C19</f>
        <v>RUA CAJÚ - BAIRRO SERTÃOZINHO</v>
      </c>
      <c r="B3" s="344"/>
      <c r="C3" s="251"/>
      <c r="D3" s="251"/>
      <c r="E3" s="251" t="s">
        <v>25</v>
      </c>
      <c r="F3" s="346" t="s">
        <v>26</v>
      </c>
      <c r="G3" s="251"/>
      <c r="H3" s="251"/>
      <c r="I3" s="251"/>
      <c r="J3" s="251"/>
    </row>
    <row r="4" spans="1:10" ht="12.75">
      <c r="A4" s="344" t="str">
        <f>'dados de entrada'!B8</f>
        <v>PAVIMENTAÇÃO COM LAJOTAS SEXTAVADAS E DRENAGEM PLUVIAL </v>
      </c>
      <c r="B4" s="344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72" t="s">
        <v>27</v>
      </c>
      <c r="B5" s="1172"/>
      <c r="C5" s="1172"/>
      <c r="D5" s="1172"/>
      <c r="E5" s="1172"/>
      <c r="F5" s="1172"/>
      <c r="G5" s="251"/>
      <c r="H5" s="251"/>
      <c r="I5" s="251"/>
      <c r="J5" s="251"/>
    </row>
    <row r="6" spans="1:10" ht="13.5" thickBot="1">
      <c r="A6" s="1171"/>
      <c r="B6" s="1171"/>
      <c r="C6" s="1171"/>
      <c r="D6" s="1171"/>
      <c r="E6" s="1171"/>
      <c r="F6" s="1171"/>
      <c r="G6" s="251"/>
      <c r="H6" s="251"/>
      <c r="I6" s="251"/>
      <c r="J6" s="432">
        <f>'[1]Escavação'!W30</f>
        <v>1</v>
      </c>
    </row>
    <row r="7" spans="1:10" ht="12.75">
      <c r="A7" s="1171" t="s">
        <v>28</v>
      </c>
      <c r="B7" s="1171"/>
      <c r="C7" s="1171"/>
      <c r="D7" s="1171" t="s">
        <v>29</v>
      </c>
      <c r="E7" s="1171"/>
      <c r="F7" s="308" t="s">
        <v>13</v>
      </c>
      <c r="G7" s="251"/>
      <c r="H7" s="251"/>
      <c r="I7" s="251"/>
      <c r="J7" s="251"/>
    </row>
    <row r="8" spans="1:10" ht="13.5" thickBot="1">
      <c r="A8" s="1173" t="s">
        <v>567</v>
      </c>
      <c r="B8" s="1173"/>
      <c r="C8" s="1173"/>
      <c r="D8" s="1171" t="s">
        <v>3</v>
      </c>
      <c r="E8" s="1171"/>
      <c r="F8" s="609">
        <f>'dados de entrada'!B3</f>
        <v>41671</v>
      </c>
      <c r="G8" s="251"/>
      <c r="H8" s="251"/>
      <c r="I8" s="251"/>
      <c r="J8" s="251"/>
    </row>
    <row r="9" spans="1:11" ht="13.5" thickBot="1">
      <c r="A9" s="1184"/>
      <c r="B9" s="1184"/>
      <c r="C9" s="1184"/>
      <c r="D9" s="1184"/>
      <c r="E9" s="1184"/>
      <c r="F9" s="1184"/>
      <c r="G9" s="251"/>
      <c r="H9" s="1169" t="s">
        <v>460</v>
      </c>
      <c r="I9" s="1170"/>
      <c r="J9" s="249">
        <v>0.9</v>
      </c>
      <c r="K9" s="248" t="s">
        <v>426</v>
      </c>
    </row>
    <row r="10" spans="1:11" ht="13.5" thickBot="1">
      <c r="A10" s="638" t="s">
        <v>0</v>
      </c>
      <c r="B10" s="639" t="s">
        <v>30</v>
      </c>
      <c r="C10" s="639" t="s">
        <v>31</v>
      </c>
      <c r="D10" s="639" t="s">
        <v>32</v>
      </c>
      <c r="E10" s="639" t="s">
        <v>33</v>
      </c>
      <c r="F10" s="640" t="s">
        <v>34</v>
      </c>
      <c r="G10" s="251"/>
      <c r="H10" s="1169" t="s">
        <v>221</v>
      </c>
      <c r="I10" s="1170"/>
      <c r="J10" s="249">
        <f>((J9-0.2)*4*O13)-P14</f>
        <v>365.2</v>
      </c>
      <c r="K10" s="248" t="s">
        <v>427</v>
      </c>
    </row>
    <row r="11" spans="1:10" ht="12.75">
      <c r="A11" s="641">
        <v>367</v>
      </c>
      <c r="B11" s="642" t="s">
        <v>602</v>
      </c>
      <c r="C11" s="643">
        <v>0.0604</v>
      </c>
      <c r="D11" s="644" t="s">
        <v>9</v>
      </c>
      <c r="E11" s="645">
        <v>69.75</v>
      </c>
      <c r="F11" s="646">
        <f>C11*E11</f>
        <v>4.2129</v>
      </c>
      <c r="G11" s="251"/>
      <c r="H11" s="251"/>
      <c r="I11" s="251"/>
      <c r="J11" s="251"/>
    </row>
    <row r="12" spans="1:15" ht="12.75" customHeight="1">
      <c r="A12" s="641" t="s">
        <v>603</v>
      </c>
      <c r="B12" s="642" t="s">
        <v>561</v>
      </c>
      <c r="C12" s="650">
        <v>1.05</v>
      </c>
      <c r="D12" s="644" t="s">
        <v>3</v>
      </c>
      <c r="E12" s="645">
        <v>46.25</v>
      </c>
      <c r="F12" s="646">
        <f>C12*E12</f>
        <v>48.5625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12.75">
      <c r="A13" s="641"/>
      <c r="B13" s="648"/>
      <c r="C13" s="643"/>
      <c r="D13" s="644"/>
      <c r="E13" s="649"/>
      <c r="F13" s="646"/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41"/>
      <c r="B14" s="648"/>
      <c r="C14" s="650"/>
      <c r="D14" s="644"/>
      <c r="E14" s="649"/>
      <c r="F14" s="646"/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51"/>
      <c r="B15" s="642"/>
      <c r="C15" s="652"/>
      <c r="D15" s="308"/>
      <c r="E15" s="653"/>
      <c r="F15" s="654"/>
      <c r="G15" s="251"/>
      <c r="H15" s="251"/>
      <c r="I15" s="251"/>
      <c r="J15" s="251"/>
    </row>
    <row r="16" spans="1:11" ht="12.75" customHeight="1" thickBot="1">
      <c r="A16" s="641"/>
      <c r="B16" s="648"/>
      <c r="C16" s="650"/>
      <c r="D16" s="644"/>
      <c r="E16" s="649"/>
      <c r="F16" s="646"/>
      <c r="G16" s="251"/>
      <c r="H16" s="1169" t="s">
        <v>146</v>
      </c>
      <c r="I16" s="1170"/>
      <c r="J16" s="249">
        <f>C15*0.25</f>
        <v>0</v>
      </c>
      <c r="K16" s="248" t="s">
        <v>222</v>
      </c>
    </row>
    <row r="17" spans="1:10" ht="12.75">
      <c r="A17" s="641"/>
      <c r="B17" s="655"/>
      <c r="C17" s="643"/>
      <c r="D17" s="644"/>
      <c r="E17" s="649"/>
      <c r="F17" s="646"/>
      <c r="G17" s="251"/>
      <c r="H17" s="251"/>
      <c r="I17" s="251"/>
      <c r="J17" s="251"/>
    </row>
    <row r="18" spans="1:10" ht="12.75">
      <c r="A18" s="641"/>
      <c r="B18" s="648"/>
      <c r="C18" s="650"/>
      <c r="D18" s="644"/>
      <c r="E18" s="649"/>
      <c r="F18" s="646"/>
      <c r="G18" s="251"/>
      <c r="H18" s="251"/>
      <c r="I18" s="251"/>
      <c r="J18" s="251"/>
    </row>
    <row r="19" spans="1:10" ht="12.75">
      <c r="A19" s="656"/>
      <c r="B19" s="642"/>
      <c r="C19" s="657"/>
      <c r="D19" s="637"/>
      <c r="E19" s="645"/>
      <c r="F19" s="646"/>
      <c r="G19" s="251"/>
      <c r="H19" s="251"/>
      <c r="I19" s="251"/>
      <c r="J19" s="251"/>
    </row>
    <row r="20" spans="1:10" ht="12.75">
      <c r="A20" s="651"/>
      <c r="B20" s="642"/>
      <c r="C20" s="657"/>
      <c r="D20" s="637"/>
      <c r="E20" s="645"/>
      <c r="F20" s="654"/>
      <c r="G20" s="251"/>
      <c r="H20" s="251"/>
      <c r="I20" s="251"/>
      <c r="J20" s="251"/>
    </row>
    <row r="21" spans="1:10" ht="12.75">
      <c r="A21" s="656"/>
      <c r="B21" s="308"/>
      <c r="C21" s="652"/>
      <c r="D21" s="308"/>
      <c r="E21" s="372"/>
      <c r="F21" s="654"/>
      <c r="G21" s="251"/>
      <c r="H21" s="251"/>
      <c r="I21" s="251"/>
      <c r="J21" s="251"/>
    </row>
    <row r="22" spans="1:10" ht="12.75">
      <c r="A22" s="1180" t="s">
        <v>37</v>
      </c>
      <c r="B22" s="1171"/>
      <c r="C22" s="1171"/>
      <c r="D22" s="1171"/>
      <c r="E22" s="1171"/>
      <c r="F22" s="654">
        <f>SUM(F11:F21)</f>
        <v>52.7754</v>
      </c>
      <c r="G22" s="251"/>
      <c r="H22" s="251"/>
      <c r="I22" s="251"/>
      <c r="J22" s="251"/>
    </row>
    <row r="23" spans="1:10" ht="13.5" thickBot="1">
      <c r="A23" s="1188"/>
      <c r="B23" s="1189"/>
      <c r="C23" s="1189"/>
      <c r="D23" s="1189"/>
      <c r="E23" s="1189"/>
      <c r="F23" s="1190"/>
      <c r="G23" s="251"/>
      <c r="H23" s="251"/>
      <c r="I23" s="251"/>
      <c r="J23" s="251"/>
    </row>
    <row r="24" spans="1:10" ht="12.75">
      <c r="A24" s="298" t="s">
        <v>0</v>
      </c>
      <c r="B24" s="298" t="s">
        <v>18</v>
      </c>
      <c r="C24" s="298" t="s">
        <v>31</v>
      </c>
      <c r="D24" s="298" t="s">
        <v>32</v>
      </c>
      <c r="E24" s="298" t="s">
        <v>33</v>
      </c>
      <c r="F24" s="298" t="s">
        <v>34</v>
      </c>
      <c r="G24" s="251"/>
      <c r="H24" s="251"/>
      <c r="I24" s="251"/>
      <c r="J24" s="251"/>
    </row>
    <row r="25" spans="1:10" ht="12.75">
      <c r="A25" s="373"/>
      <c r="B25" s="374"/>
      <c r="C25" s="349"/>
      <c r="D25" s="375"/>
      <c r="E25" s="349"/>
      <c r="F25" s="376"/>
      <c r="G25" s="251" t="s">
        <v>226</v>
      </c>
      <c r="H25" s="251"/>
      <c r="I25" s="251"/>
      <c r="J25" s="251"/>
    </row>
    <row r="26" spans="1:10" ht="12.75">
      <c r="A26" s="357"/>
      <c r="B26" s="377"/>
      <c r="C26" s="378"/>
      <c r="D26" s="354"/>
      <c r="E26" s="378"/>
      <c r="F26" s="356"/>
      <c r="G26" s="251"/>
      <c r="H26" s="251"/>
      <c r="I26" s="251"/>
      <c r="J26" s="251"/>
    </row>
    <row r="27" spans="1:10" ht="12.75">
      <c r="A27" s="302"/>
      <c r="B27" s="303"/>
      <c r="C27" s="379"/>
      <c r="D27" s="303"/>
      <c r="E27" s="379"/>
      <c r="F27" s="362"/>
      <c r="G27" s="251"/>
      <c r="H27" s="251"/>
      <c r="I27" s="251"/>
      <c r="J27" s="251"/>
    </row>
    <row r="28" spans="1:10" ht="12.75">
      <c r="A28" s="302"/>
      <c r="B28" s="303"/>
      <c r="C28" s="379"/>
      <c r="D28" s="303"/>
      <c r="E28" s="379"/>
      <c r="F28" s="362"/>
      <c r="G28" s="251"/>
      <c r="H28" s="251"/>
      <c r="I28" s="251"/>
      <c r="J28" s="251"/>
    </row>
    <row r="29" spans="1:10" ht="12.75">
      <c r="A29" s="367"/>
      <c r="B29" s="368"/>
      <c r="C29" s="370"/>
      <c r="D29" s="368"/>
      <c r="E29" s="370"/>
      <c r="F29" s="371"/>
      <c r="G29" s="251"/>
      <c r="H29" s="251"/>
      <c r="I29" s="251"/>
      <c r="J29" s="251"/>
    </row>
    <row r="30" spans="1:10" ht="12.75">
      <c r="A30" s="1171" t="s">
        <v>39</v>
      </c>
      <c r="B30" s="1171"/>
      <c r="C30" s="1171"/>
      <c r="D30" s="1171"/>
      <c r="E30" s="1171"/>
      <c r="F30" s="372">
        <f>SUM(F25:F29)</f>
        <v>0</v>
      </c>
      <c r="G30" s="251"/>
      <c r="H30" s="251"/>
      <c r="I30" s="251"/>
      <c r="J30" s="251"/>
    </row>
    <row r="31" spans="1:10" ht="12.75">
      <c r="A31" s="1171"/>
      <c r="B31" s="1171"/>
      <c r="C31" s="1171"/>
      <c r="D31" s="1171"/>
      <c r="E31" s="1171"/>
      <c r="F31" s="1171"/>
      <c r="G31" s="251"/>
      <c r="H31" s="251"/>
      <c r="I31" s="251"/>
      <c r="J31" s="251"/>
    </row>
    <row r="32" spans="1:10" ht="12.75">
      <c r="A32" s="308" t="s">
        <v>0</v>
      </c>
      <c r="B32" s="308" t="s">
        <v>40</v>
      </c>
      <c r="C32" s="308" t="s">
        <v>31</v>
      </c>
      <c r="D32" s="308" t="s">
        <v>32</v>
      </c>
      <c r="E32" s="308" t="s">
        <v>33</v>
      </c>
      <c r="F32" s="308" t="s">
        <v>34</v>
      </c>
      <c r="G32" s="251"/>
      <c r="H32" s="251"/>
      <c r="I32" s="251"/>
      <c r="J32" s="251"/>
    </row>
    <row r="33" spans="1:10" ht="12.75">
      <c r="A33" s="647">
        <v>6111</v>
      </c>
      <c r="B33" s="648" t="s">
        <v>604</v>
      </c>
      <c r="C33" s="643">
        <v>0.35</v>
      </c>
      <c r="D33" s="644" t="s">
        <v>212</v>
      </c>
      <c r="E33" s="645">
        <v>8.83</v>
      </c>
      <c r="F33" s="654">
        <f>E33*C33</f>
        <v>3.0905</v>
      </c>
      <c r="G33" s="251"/>
      <c r="H33" s="251" t="s">
        <v>227</v>
      </c>
      <c r="I33" s="251" t="s">
        <v>431</v>
      </c>
      <c r="J33" s="251"/>
    </row>
    <row r="34" spans="1:10" ht="12.75">
      <c r="A34" s="641">
        <v>4750</v>
      </c>
      <c r="B34" s="648" t="s">
        <v>42</v>
      </c>
      <c r="C34" s="643">
        <v>0.16</v>
      </c>
      <c r="D34" s="644" t="s">
        <v>212</v>
      </c>
      <c r="E34" s="645">
        <v>11.79</v>
      </c>
      <c r="F34" s="654">
        <f>E34*C34</f>
        <v>1.8863999999999999</v>
      </c>
      <c r="G34" s="251"/>
      <c r="H34" s="251" t="s">
        <v>228</v>
      </c>
      <c r="I34" s="251" t="s">
        <v>432</v>
      </c>
      <c r="J34" s="251"/>
    </row>
    <row r="35" spans="1:10" ht="12.75">
      <c r="A35" s="302"/>
      <c r="B35" s="389"/>
      <c r="C35" s="379"/>
      <c r="D35" s="303"/>
      <c r="E35" s="379"/>
      <c r="F35" s="356">
        <f>C35*E35</f>
        <v>0</v>
      </c>
      <c r="G35" s="251"/>
      <c r="H35" s="251"/>
      <c r="I35" s="251"/>
      <c r="J35" s="251"/>
    </row>
    <row r="36" spans="1:10" ht="12.75">
      <c r="A36" s="302"/>
      <c r="B36" s="389"/>
      <c r="C36" s="379"/>
      <c r="D36" s="303"/>
      <c r="E36" s="379"/>
      <c r="F36" s="356">
        <f>C36*E36</f>
        <v>0</v>
      </c>
      <c r="G36" s="251"/>
      <c r="H36" s="251"/>
      <c r="I36" s="251"/>
      <c r="J36" s="251"/>
    </row>
    <row r="37" spans="1:10" ht="12.75">
      <c r="A37" s="390"/>
      <c r="B37" s="391"/>
      <c r="C37" s="392"/>
      <c r="D37" s="393"/>
      <c r="E37" s="392"/>
      <c r="F37" s="394">
        <f>C37*E37</f>
        <v>0</v>
      </c>
      <c r="G37" s="251"/>
      <c r="H37" s="251"/>
      <c r="I37" s="251"/>
      <c r="J37" s="251"/>
    </row>
    <row r="38" spans="1:10" ht="12.75">
      <c r="A38" s="1171" t="s">
        <v>43</v>
      </c>
      <c r="B38" s="1171"/>
      <c r="C38" s="1171"/>
      <c r="D38" s="1171"/>
      <c r="E38" s="1171"/>
      <c r="F38" s="372">
        <f>SUM(F33:F37)</f>
        <v>4.9769</v>
      </c>
      <c r="G38" s="251"/>
      <c r="H38" s="251"/>
      <c r="I38" s="251"/>
      <c r="J38" s="251"/>
    </row>
    <row r="39" spans="1:10" ht="12.75">
      <c r="A39" s="1171"/>
      <c r="B39" s="1171"/>
      <c r="C39" s="1171"/>
      <c r="D39" s="1171"/>
      <c r="E39" s="1171"/>
      <c r="F39" s="1171"/>
      <c r="G39" s="251"/>
      <c r="H39" s="251"/>
      <c r="I39" s="251"/>
      <c r="J39" s="251"/>
    </row>
    <row r="40" spans="1:10" ht="12.75">
      <c r="A40" s="1171" t="s">
        <v>44</v>
      </c>
      <c r="B40" s="1171"/>
      <c r="C40" s="1171"/>
      <c r="D40" s="1171"/>
      <c r="E40" s="1171"/>
      <c r="F40" s="372">
        <f>F38</f>
        <v>4.9769</v>
      </c>
      <c r="G40" s="251"/>
      <c r="H40" s="251"/>
      <c r="I40" s="251"/>
      <c r="J40" s="251"/>
    </row>
    <row r="41" spans="1:10" ht="12.75">
      <c r="A41" s="1171"/>
      <c r="B41" s="1171"/>
      <c r="C41" s="1171"/>
      <c r="D41" s="1171"/>
      <c r="E41" s="1171"/>
      <c r="F41" s="1171"/>
      <c r="G41" s="251"/>
      <c r="H41" s="251"/>
      <c r="I41" s="251"/>
      <c r="J41" s="251"/>
    </row>
    <row r="42" spans="1:10" ht="12.75">
      <c r="A42" s="1171"/>
      <c r="B42" s="1171"/>
      <c r="C42" s="1171"/>
      <c r="D42" s="1171"/>
      <c r="E42" s="1171"/>
      <c r="F42" s="1171"/>
      <c r="G42" s="251"/>
      <c r="H42" s="251"/>
      <c r="I42" s="251"/>
      <c r="J42" s="251"/>
    </row>
    <row r="43" spans="1:10" ht="12.75">
      <c r="A43" s="1171" t="s">
        <v>45</v>
      </c>
      <c r="B43" s="1171"/>
      <c r="C43" s="1171"/>
      <c r="D43" s="1171"/>
      <c r="E43" s="1171"/>
      <c r="F43" s="372">
        <f>F40+F30+F22</f>
        <v>57.7523</v>
      </c>
      <c r="G43" s="251"/>
      <c r="H43" s="251"/>
      <c r="I43" s="251"/>
      <c r="J43" s="251"/>
    </row>
    <row r="44" spans="1:10" ht="12.75">
      <c r="A44" s="1171"/>
      <c r="B44" s="1171"/>
      <c r="C44" s="1171"/>
      <c r="D44" s="1171"/>
      <c r="E44" s="1171"/>
      <c r="F44" s="1171"/>
      <c r="G44" s="251"/>
      <c r="H44" s="251"/>
      <c r="I44" s="251"/>
      <c r="J44" s="251"/>
    </row>
    <row r="45" spans="1:10" ht="12.75">
      <c r="A45" s="1171" t="s">
        <v>46</v>
      </c>
      <c r="B45" s="1171"/>
      <c r="C45" s="1171"/>
      <c r="D45" s="1171"/>
      <c r="E45" s="433">
        <f>'dados de entrada'!B10</f>
        <v>0.25</v>
      </c>
      <c r="F45" s="372">
        <f>F43*E45</f>
        <v>14.438075</v>
      </c>
      <c r="G45" s="395" t="s">
        <v>229</v>
      </c>
      <c r="H45" s="251"/>
      <c r="I45" s="251"/>
      <c r="J45" s="251"/>
    </row>
    <row r="46" spans="1:10" ht="12.75">
      <c r="A46" s="1171"/>
      <c r="B46" s="1171"/>
      <c r="C46" s="1171"/>
      <c r="D46" s="1171"/>
      <c r="E46" s="1171"/>
      <c r="F46" s="1171"/>
      <c r="G46" s="251"/>
      <c r="H46" s="251"/>
      <c r="I46" s="251"/>
      <c r="J46" s="251"/>
    </row>
    <row r="47" spans="1:10" ht="12.75">
      <c r="A47" s="1171" t="s">
        <v>47</v>
      </c>
      <c r="B47" s="1171"/>
      <c r="C47" s="1171"/>
      <c r="D47" s="1171"/>
      <c r="E47" s="1171"/>
      <c r="F47" s="372">
        <f>F43+F45</f>
        <v>72.190375</v>
      </c>
      <c r="G47" s="251"/>
      <c r="H47" s="251"/>
      <c r="I47" s="251"/>
      <c r="J47" s="251"/>
    </row>
    <row r="48" spans="1:6" ht="12.75">
      <c r="A48" s="1171"/>
      <c r="B48" s="1171"/>
      <c r="C48" s="1171"/>
      <c r="D48" s="1171"/>
      <c r="E48" s="1171"/>
      <c r="F48" s="1171"/>
    </row>
  </sheetData>
  <sheetProtection/>
  <mergeCells count="25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197" t="s">
        <v>59</v>
      </c>
      <c r="B1" s="1197"/>
      <c r="C1" s="1197"/>
      <c r="D1" s="70"/>
    </row>
    <row r="2" spans="1:4" s="71" customFormat="1" ht="21" thickBot="1">
      <c r="A2" s="1196" t="str">
        <f>'dados de entrada'!B15</f>
        <v>PREFEITURA MUNICIPAL DE BOMBINHAS</v>
      </c>
      <c r="B2" s="1196"/>
      <c r="C2" s="1196"/>
      <c r="D2" s="70"/>
    </row>
    <row r="3" spans="1:4" s="73" customFormat="1" ht="15.75" thickBot="1">
      <c r="A3" s="1198" t="str">
        <f>'dados de entrada'!B8</f>
        <v>PAVIMENTAÇÃO COM LAJOTAS SEXTAVADAS E DRENAGEM PLUVIAL </v>
      </c>
      <c r="B3" s="1199"/>
      <c r="C3" s="1200"/>
      <c r="D3" s="72"/>
    </row>
    <row r="4" spans="1:4" s="75" customFormat="1" ht="15.75" customHeight="1" thickBot="1">
      <c r="A4" s="1201" t="str">
        <f>'dados de entrada'!C19</f>
        <v>RUA CAJÚ - BAIRRO SERTÃOZINHO</v>
      </c>
      <c r="B4" s="1202"/>
      <c r="C4" s="1203"/>
      <c r="D4" s="74"/>
    </row>
    <row r="5" spans="1:10" ht="15.75" thickBot="1">
      <c r="A5" s="1204" t="s">
        <v>601</v>
      </c>
      <c r="B5" s="1204"/>
      <c r="C5" s="1204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194" t="s">
        <v>193</v>
      </c>
      <c r="B23" s="1195"/>
      <c r="C23" s="101">
        <v>0.25</v>
      </c>
      <c r="D23" s="102"/>
    </row>
    <row r="24" ht="13.5" thickBot="1"/>
    <row r="25" spans="1:3" ht="12.75">
      <c r="A25" s="1205" t="s">
        <v>194</v>
      </c>
      <c r="B25" s="1206"/>
      <c r="C25" s="1207"/>
    </row>
    <row r="26" spans="1:4" s="107" customFormat="1" ht="12">
      <c r="A26" s="1208" t="s">
        <v>195</v>
      </c>
      <c r="B26" s="1209"/>
      <c r="C26" s="1210"/>
      <c r="D26" s="106"/>
    </row>
    <row r="27" spans="1:4" s="107" customFormat="1" ht="12.75">
      <c r="A27" s="1216"/>
      <c r="B27" s="1217"/>
      <c r="C27" s="1218"/>
      <c r="D27" s="106"/>
    </row>
    <row r="28" spans="1:4" s="107" customFormat="1" ht="12.75">
      <c r="A28" s="1216"/>
      <c r="B28" s="1217"/>
      <c r="C28" s="1218"/>
      <c r="D28" s="106"/>
    </row>
    <row r="29" spans="1:3" ht="12.75">
      <c r="A29" s="1216"/>
      <c r="B29" s="1217"/>
      <c r="C29" s="1218"/>
    </row>
    <row r="30" spans="1:3" ht="12.75">
      <c r="A30" s="1219" t="s">
        <v>455</v>
      </c>
      <c r="B30" s="1217"/>
      <c r="C30" s="1218"/>
    </row>
    <row r="31" spans="1:5" ht="15">
      <c r="A31" s="1211" t="str">
        <f>'dados de entrada'!C24</f>
        <v>Carlos Alberto Bley</v>
      </c>
      <c r="B31" s="1212"/>
      <c r="C31" s="1213"/>
      <c r="D31" s="108"/>
      <c r="E31" s="109"/>
    </row>
    <row r="32" spans="1:5" ht="13.5" thickBot="1">
      <c r="A32" s="892" t="str">
        <f>'dados de entrada'!B17</f>
        <v>Engenheiro Civil - CREA SC 008.333-3</v>
      </c>
      <c r="B32" s="1214"/>
      <c r="C32" s="1215"/>
      <c r="D32" s="110"/>
      <c r="E32" s="109"/>
    </row>
  </sheetData>
  <sheetProtection/>
  <mergeCells count="14">
    <mergeCell ref="A25:C25"/>
    <mergeCell ref="A26:C26"/>
    <mergeCell ref="A31:C31"/>
    <mergeCell ref="A32:C32"/>
    <mergeCell ref="A27:C27"/>
    <mergeCell ref="A28:C28"/>
    <mergeCell ref="A29:C29"/>
    <mergeCell ref="A30:C30"/>
    <mergeCell ref="A23:B23"/>
    <mergeCell ref="A2:C2"/>
    <mergeCell ref="A1:C1"/>
    <mergeCell ref="A3:C3"/>
    <mergeCell ref="A4:C4"/>
    <mergeCell ref="A5:C5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434</v>
      </c>
      <c r="B1" s="59" t="s">
        <v>573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585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41671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545</v>
      </c>
      <c r="C4" s="58" t="s">
        <v>145</v>
      </c>
      <c r="G4" s="58" t="s">
        <v>119</v>
      </c>
      <c r="H4" s="58" t="s">
        <v>546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461</v>
      </c>
      <c r="C7" s="58" t="s">
        <v>462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563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692" t="s">
        <v>586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1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1:10" ht="12.75">
      <c r="A11" s="123" t="s">
        <v>587</v>
      </c>
      <c r="B11" s="692" t="s">
        <v>588</v>
      </c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 CAJÚ - </v>
      </c>
      <c r="C18" s="58" t="s">
        <v>150</v>
      </c>
    </row>
    <row r="19" spans="2:3" ht="12.75">
      <c r="B19" t="str">
        <f>CONCATENATE(A2,B2)</f>
        <v>BAIRRO SERTÃOZINHO</v>
      </c>
      <c r="C19" t="str">
        <f>CONCATENATE(B18,B19)</f>
        <v>RUA CAJÚ - BAIRRO SERTÃOZINHO</v>
      </c>
    </row>
    <row r="20" ht="12.75">
      <c r="C20" t="str">
        <f>CONCATENATE(C18,C19)</f>
        <v>Localização: RUA CAJÚ - BAIRRO SERTÃOZINHO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SheetLayoutView="100" zoomScalePageLayoutView="0" workbookViewId="0" topLeftCell="A1">
      <selection activeCell="I10" sqref="I10:I15"/>
    </sheetView>
  </sheetViews>
  <sheetFormatPr defaultColWidth="9.140625" defaultRowHeight="12.75"/>
  <cols>
    <col min="1" max="1" width="7.57421875" style="252" customWidth="1"/>
    <col min="2" max="2" width="7.7109375" style="326" customWidth="1"/>
    <col min="3" max="3" width="11.140625" style="303" customWidth="1"/>
    <col min="4" max="4" width="13.140625" style="303" bestFit="1" customWidth="1"/>
    <col min="5" max="5" width="11.421875" style="303" customWidth="1"/>
    <col min="6" max="6" width="11.28125" style="303" customWidth="1"/>
    <col min="7" max="7" width="13.140625" style="303" customWidth="1"/>
    <col min="8" max="8" width="11.00390625" style="303" customWidth="1"/>
    <col min="9" max="9" width="13.421875" style="303" customWidth="1"/>
    <col min="10" max="10" width="8.57421875" style="303" customWidth="1"/>
    <col min="11" max="11" width="10.421875" style="303" bestFit="1" customWidth="1"/>
    <col min="12" max="12" width="11.421875" style="303" customWidth="1"/>
    <col min="13" max="13" width="11.28125" style="303" customWidth="1"/>
    <col min="14" max="16384" width="9.140625" style="252" customWidth="1"/>
  </cols>
  <sheetData>
    <row r="1" spans="1:13" ht="18">
      <c r="A1" s="725" t="s">
        <v>59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ht="23.25" customHeight="1" thickBot="1">
      <c r="A2" s="726" t="str">
        <f>'dados de entrada'!B15</f>
        <v>PREFEITURA MUNICIPAL DE BOMBINHAS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ht="21" thickBot="1">
      <c r="A3" s="253" t="s">
        <v>60</v>
      </c>
      <c r="B3" s="254"/>
      <c r="C3" s="727" t="str">
        <f>'dados de entrada'!B8</f>
        <v>PAVIMENTAÇÃO COM LAJOTAS SEXTAVADAS E DRENAGEM PLUVIAL </v>
      </c>
      <c r="D3" s="727"/>
      <c r="E3" s="727"/>
      <c r="F3" s="727"/>
      <c r="G3" s="727"/>
      <c r="H3" s="727"/>
      <c r="I3" s="727"/>
      <c r="J3" s="727"/>
      <c r="K3" s="727"/>
      <c r="L3" s="727"/>
      <c r="M3" s="728"/>
    </row>
    <row r="4" spans="1:13" ht="18.75" thickBot="1">
      <c r="A4" s="253" t="s">
        <v>62</v>
      </c>
      <c r="B4" s="255"/>
      <c r="C4" s="727" t="str">
        <f>'dados de entrada'!C19</f>
        <v>RUA CAJÚ - BAIRRO SERTÃOZINHO</v>
      </c>
      <c r="D4" s="727"/>
      <c r="E4" s="727"/>
      <c r="F4" s="727"/>
      <c r="G4" s="727"/>
      <c r="H4" s="727"/>
      <c r="I4" s="727"/>
      <c r="J4" s="727"/>
      <c r="K4" s="727"/>
      <c r="L4" s="727"/>
      <c r="M4" s="728"/>
    </row>
    <row r="5" spans="1:16" ht="21" customHeight="1" thickBot="1">
      <c r="A5" s="729" t="s">
        <v>421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P5" s="256" t="s">
        <v>64</v>
      </c>
    </row>
    <row r="6" spans="1:16" ht="14.25" customHeight="1">
      <c r="A6" s="753" t="s">
        <v>65</v>
      </c>
      <c r="B6" s="754"/>
      <c r="C6" s="745" t="s">
        <v>66</v>
      </c>
      <c r="D6" s="746"/>
      <c r="E6" s="257" t="s">
        <v>67</v>
      </c>
      <c r="F6" s="757" t="s">
        <v>68</v>
      </c>
      <c r="G6" s="735" t="s">
        <v>69</v>
      </c>
      <c r="H6" s="745" t="s">
        <v>70</v>
      </c>
      <c r="I6" s="746"/>
      <c r="J6" s="755" t="s">
        <v>71</v>
      </c>
      <c r="K6" s="735" t="s">
        <v>72</v>
      </c>
      <c r="L6" s="745" t="s">
        <v>73</v>
      </c>
      <c r="M6" s="746"/>
      <c r="N6" s="258"/>
      <c r="P6" s="259">
        <v>60</v>
      </c>
    </row>
    <row r="7" spans="1:14" ht="15" customHeight="1" thickBot="1">
      <c r="A7" s="733" t="s">
        <v>74</v>
      </c>
      <c r="B7" s="734"/>
      <c r="C7" s="260" t="s">
        <v>75</v>
      </c>
      <c r="D7" s="261" t="s">
        <v>76</v>
      </c>
      <c r="E7" s="262" t="s">
        <v>77</v>
      </c>
      <c r="F7" s="758"/>
      <c r="G7" s="736"/>
      <c r="H7" s="260" t="s">
        <v>65</v>
      </c>
      <c r="I7" s="261" t="s">
        <v>78</v>
      </c>
      <c r="J7" s="756"/>
      <c r="K7" s="736"/>
      <c r="L7" s="260" t="s">
        <v>79</v>
      </c>
      <c r="M7" s="261" t="s">
        <v>80</v>
      </c>
      <c r="N7" s="258"/>
    </row>
    <row r="8" spans="1:20" s="266" customFormat="1" ht="15" customHeight="1">
      <c r="A8" s="747"/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9"/>
      <c r="N8" s="263"/>
      <c r="O8" s="264"/>
      <c r="P8" s="265" t="s">
        <v>81</v>
      </c>
      <c r="Q8" s="264"/>
      <c r="R8" s="264"/>
      <c r="S8" s="264"/>
      <c r="T8" s="264"/>
    </row>
    <row r="9" spans="1:16" ht="15" customHeight="1">
      <c r="A9" s="684">
        <v>1</v>
      </c>
      <c r="B9" s="685" t="s">
        <v>574</v>
      </c>
      <c r="C9" s="686">
        <v>101.7</v>
      </c>
      <c r="D9" s="687">
        <v>100.885</v>
      </c>
      <c r="E9" s="688">
        <v>40</v>
      </c>
      <c r="F9" s="689">
        <v>40</v>
      </c>
      <c r="G9" s="273">
        <f aca="true" t="shared" si="0" ref="G9:G15">ABS((C9-D9)/E9)</f>
        <v>0.020374999999999942</v>
      </c>
      <c r="H9" s="274">
        <f aca="true" t="shared" si="1" ref="H9:H15">((F9*$P$6)/10000)</f>
        <v>0.24</v>
      </c>
      <c r="I9" s="275">
        <f>H9</f>
        <v>0.24</v>
      </c>
      <c r="J9" s="276">
        <v>0.8</v>
      </c>
      <c r="K9" s="277">
        <f aca="true" t="shared" si="2" ref="K9:K15">(2.78*J9*$P$9*I9)/1000</f>
        <v>0.04803839999999999</v>
      </c>
      <c r="L9" s="277">
        <f aca="true" t="shared" si="3" ref="L9:L15">1.55*(K9*$P$15/(G9^0.5))^0.375</f>
        <v>0.20216238490005511</v>
      </c>
      <c r="M9" s="278">
        <f aca="true" t="shared" si="4" ref="M9:M15">IF(L9&lt;0.4,0.4,IF(AND(L9&gt;0.4,L9&lt;0.6),0.6,0.8))</f>
        <v>0.4</v>
      </c>
      <c r="N9" s="258"/>
      <c r="P9" s="279">
        <v>90</v>
      </c>
    </row>
    <row r="10" spans="1:16" ht="15" customHeight="1">
      <c r="A10" s="684" t="str">
        <f aca="true" t="shared" si="5" ref="A10:A15">B9</f>
        <v>CL 1</v>
      </c>
      <c r="B10" s="685">
        <v>2</v>
      </c>
      <c r="C10" s="687">
        <f>D9</f>
        <v>100.885</v>
      </c>
      <c r="D10" s="687">
        <v>100.515</v>
      </c>
      <c r="E10" s="688">
        <v>40</v>
      </c>
      <c r="F10" s="689">
        <v>40</v>
      </c>
      <c r="G10" s="273">
        <f t="shared" si="0"/>
        <v>0.009250000000000114</v>
      </c>
      <c r="H10" s="274">
        <f t="shared" si="1"/>
        <v>0.24</v>
      </c>
      <c r="I10" s="275">
        <f aca="true" t="shared" si="6" ref="I10:I15">H10+I9</f>
        <v>0.48</v>
      </c>
      <c r="J10" s="276">
        <v>0.8</v>
      </c>
      <c r="K10" s="277">
        <f t="shared" si="2"/>
        <v>0.09607679999999998</v>
      </c>
      <c r="L10" s="277">
        <f t="shared" si="3"/>
        <v>0.3040120718003876</v>
      </c>
      <c r="M10" s="278">
        <f t="shared" si="4"/>
        <v>0.4</v>
      </c>
      <c r="N10" s="258"/>
      <c r="P10" s="279"/>
    </row>
    <row r="11" spans="1:14" ht="15" customHeight="1">
      <c r="A11" s="684">
        <f t="shared" si="5"/>
        <v>2</v>
      </c>
      <c r="B11" s="685" t="s">
        <v>575</v>
      </c>
      <c r="C11" s="687">
        <f>D10</f>
        <v>100.515</v>
      </c>
      <c r="D11" s="687">
        <v>100.3</v>
      </c>
      <c r="E11" s="688">
        <v>40</v>
      </c>
      <c r="F11" s="689">
        <v>40</v>
      </c>
      <c r="G11" s="273">
        <f t="shared" si="0"/>
        <v>0.0053750000000000854</v>
      </c>
      <c r="H11" s="274">
        <f t="shared" si="1"/>
        <v>0.24</v>
      </c>
      <c r="I11" s="275">
        <f t="shared" si="6"/>
        <v>0.72</v>
      </c>
      <c r="J11" s="276">
        <v>0.8</v>
      </c>
      <c r="K11" s="277">
        <f t="shared" si="2"/>
        <v>0.14411519999999997</v>
      </c>
      <c r="L11" s="277">
        <f t="shared" si="3"/>
        <v>0.39185975554553554</v>
      </c>
      <c r="M11" s="278">
        <f t="shared" si="4"/>
        <v>0.4</v>
      </c>
      <c r="N11" s="258"/>
    </row>
    <row r="12" spans="1:16" ht="15" customHeight="1">
      <c r="A12" s="684" t="str">
        <f t="shared" si="5"/>
        <v>CL 2</v>
      </c>
      <c r="B12" s="685">
        <v>3</v>
      </c>
      <c r="C12" s="687">
        <f>D11</f>
        <v>100.3</v>
      </c>
      <c r="D12" s="687">
        <v>99.95</v>
      </c>
      <c r="E12" s="688">
        <v>40</v>
      </c>
      <c r="F12" s="689">
        <v>40</v>
      </c>
      <c r="G12" s="273">
        <f t="shared" si="0"/>
        <v>0.008749999999999859</v>
      </c>
      <c r="H12" s="274">
        <f t="shared" si="1"/>
        <v>0.24</v>
      </c>
      <c r="I12" s="275">
        <f t="shared" si="6"/>
        <v>0.96</v>
      </c>
      <c r="J12" s="276">
        <v>0.8</v>
      </c>
      <c r="K12" s="277">
        <f t="shared" si="2"/>
        <v>0.19215359999999995</v>
      </c>
      <c r="L12" s="277">
        <f t="shared" si="3"/>
        <v>0.39838423346408813</v>
      </c>
      <c r="M12" s="278">
        <f t="shared" si="4"/>
        <v>0.4</v>
      </c>
      <c r="N12" s="258"/>
      <c r="P12" s="280" t="s">
        <v>82</v>
      </c>
    </row>
    <row r="13" spans="1:16" ht="15" customHeight="1">
      <c r="A13" s="684">
        <f t="shared" si="5"/>
        <v>3</v>
      </c>
      <c r="B13" s="685" t="s">
        <v>576</v>
      </c>
      <c r="C13" s="687">
        <v>99.75</v>
      </c>
      <c r="D13" s="687">
        <v>99.5</v>
      </c>
      <c r="E13" s="688">
        <v>50</v>
      </c>
      <c r="F13" s="689">
        <v>40</v>
      </c>
      <c r="G13" s="273">
        <f t="shared" si="0"/>
        <v>0.005</v>
      </c>
      <c r="H13" s="274">
        <f t="shared" si="1"/>
        <v>0.24</v>
      </c>
      <c r="I13" s="275">
        <f t="shared" si="6"/>
        <v>1.2</v>
      </c>
      <c r="J13" s="276">
        <v>0.8</v>
      </c>
      <c r="K13" s="277">
        <f t="shared" si="2"/>
        <v>0.24019199999999996</v>
      </c>
      <c r="L13" s="277">
        <f t="shared" si="3"/>
        <v>0.48107526899946745</v>
      </c>
      <c r="M13" s="278">
        <f t="shared" si="4"/>
        <v>0.6</v>
      </c>
      <c r="N13" s="258"/>
      <c r="P13" s="280"/>
    </row>
    <row r="14" spans="1:16" ht="15">
      <c r="A14" s="684" t="str">
        <f t="shared" si="5"/>
        <v>CL 3</v>
      </c>
      <c r="B14" s="685">
        <v>4</v>
      </c>
      <c r="C14" s="686">
        <f>D13</f>
        <v>99.5</v>
      </c>
      <c r="D14" s="687">
        <v>99.1</v>
      </c>
      <c r="E14" s="688">
        <v>53</v>
      </c>
      <c r="F14" s="689">
        <v>50</v>
      </c>
      <c r="G14" s="273">
        <f t="shared" si="0"/>
        <v>0.007547169811320862</v>
      </c>
      <c r="H14" s="274">
        <f t="shared" si="1"/>
        <v>0.3</v>
      </c>
      <c r="I14" s="275">
        <f t="shared" si="6"/>
        <v>1.5</v>
      </c>
      <c r="J14" s="276">
        <v>0.8</v>
      </c>
      <c r="K14" s="277">
        <f t="shared" si="2"/>
        <v>0.30023999999999995</v>
      </c>
      <c r="L14" s="277">
        <f t="shared" si="3"/>
        <v>0.4842020671986346</v>
      </c>
      <c r="M14" s="278">
        <f t="shared" si="4"/>
        <v>0.6</v>
      </c>
      <c r="N14" s="258"/>
      <c r="P14" s="280"/>
    </row>
    <row r="15" spans="1:16" s="264" customFormat="1" ht="15" customHeight="1">
      <c r="A15" s="684">
        <f t="shared" si="5"/>
        <v>4</v>
      </c>
      <c r="B15" s="685" t="s">
        <v>568</v>
      </c>
      <c r="C15" s="686">
        <f>D14</f>
        <v>99.1</v>
      </c>
      <c r="D15" s="687">
        <v>99.05</v>
      </c>
      <c r="E15" s="688">
        <v>8</v>
      </c>
      <c r="F15" s="689">
        <v>53</v>
      </c>
      <c r="G15" s="273">
        <f t="shared" si="0"/>
        <v>0.006249999999999645</v>
      </c>
      <c r="H15" s="274">
        <f t="shared" si="1"/>
        <v>0.318</v>
      </c>
      <c r="I15" s="275">
        <f t="shared" si="6"/>
        <v>1.818</v>
      </c>
      <c r="J15" s="276">
        <v>0.8</v>
      </c>
      <c r="K15" s="277">
        <f t="shared" si="2"/>
        <v>0.36389087999999997</v>
      </c>
      <c r="L15" s="277">
        <f t="shared" si="3"/>
        <v>0.5391345215927125</v>
      </c>
      <c r="M15" s="278">
        <f t="shared" si="4"/>
        <v>0.6</v>
      </c>
      <c r="N15" s="263"/>
      <c r="P15" s="281">
        <v>0.013</v>
      </c>
    </row>
    <row r="16" spans="1:16" s="264" customFormat="1" ht="15" customHeight="1">
      <c r="A16" s="684"/>
      <c r="B16" s="685"/>
      <c r="C16" s="686"/>
      <c r="D16" s="687"/>
      <c r="E16" s="688"/>
      <c r="F16" s="689"/>
      <c r="G16" s="273"/>
      <c r="H16" s="274"/>
      <c r="I16" s="275"/>
      <c r="J16" s="276"/>
      <c r="K16" s="277"/>
      <c r="L16" s="277"/>
      <c r="M16" s="278"/>
      <c r="N16" s="263"/>
      <c r="P16" s="281"/>
    </row>
    <row r="17" spans="1:14" ht="15" customHeight="1">
      <c r="A17" s="267"/>
      <c r="B17" s="268"/>
      <c r="C17" s="269"/>
      <c r="D17" s="270"/>
      <c r="E17" s="271"/>
      <c r="F17" s="272"/>
      <c r="G17" s="273"/>
      <c r="H17" s="274"/>
      <c r="I17" s="275"/>
      <c r="J17" s="276"/>
      <c r="K17" s="277"/>
      <c r="L17" s="277"/>
      <c r="M17" s="278"/>
      <c r="N17" s="258"/>
    </row>
    <row r="18" spans="1:14" ht="15" customHeight="1">
      <c r="A18" s="661"/>
      <c r="B18" s="662"/>
      <c r="C18" s="663"/>
      <c r="D18" s="664"/>
      <c r="E18" s="665"/>
      <c r="F18" s="666"/>
      <c r="G18" s="667"/>
      <c r="H18" s="668"/>
      <c r="I18" s="275"/>
      <c r="J18" s="276"/>
      <c r="K18" s="277"/>
      <c r="L18" s="277"/>
      <c r="M18" s="278"/>
      <c r="N18" s="258"/>
    </row>
    <row r="19" spans="1:14" ht="15" customHeight="1" thickBot="1">
      <c r="A19" s="669"/>
      <c r="B19" s="670"/>
      <c r="C19" s="671"/>
      <c r="D19" s="672"/>
      <c r="E19" s="673"/>
      <c r="F19" s="674"/>
      <c r="G19" s="667"/>
      <c r="H19" s="668"/>
      <c r="I19" s="275"/>
      <c r="J19" s="276"/>
      <c r="K19" s="277"/>
      <c r="L19" s="277"/>
      <c r="M19" s="278"/>
      <c r="N19" s="258"/>
    </row>
    <row r="20" spans="1:14" s="264" customFormat="1" ht="15" customHeight="1">
      <c r="A20" s="750" t="s">
        <v>262</v>
      </c>
      <c r="B20" s="751"/>
      <c r="C20" s="751"/>
      <c r="D20" s="751"/>
      <c r="E20" s="752"/>
      <c r="F20" s="282" t="s">
        <v>422</v>
      </c>
      <c r="G20" s="283"/>
      <c r="H20" s="284"/>
      <c r="I20" s="285" t="s">
        <v>85</v>
      </c>
      <c r="J20" s="286"/>
      <c r="K20" s="286"/>
      <c r="L20" s="286"/>
      <c r="M20" s="287"/>
      <c r="N20" s="263"/>
    </row>
    <row r="21" spans="1:14" s="264" customFormat="1" ht="15" customHeight="1">
      <c r="A21" s="288"/>
      <c r="B21" s="289"/>
      <c r="C21" s="290"/>
      <c r="D21" s="291"/>
      <c r="E21" s="292"/>
      <c r="F21" s="293"/>
      <c r="G21" s="294"/>
      <c r="H21" s="295"/>
      <c r="I21" s="296"/>
      <c r="J21" s="297"/>
      <c r="K21" s="298"/>
      <c r="L21" s="723"/>
      <c r="M21" s="724"/>
      <c r="N21" s="263"/>
    </row>
    <row r="22" spans="1:13" ht="15">
      <c r="A22" s="299"/>
      <c r="B22" s="300"/>
      <c r="C22" s="301"/>
      <c r="D22" s="302"/>
      <c r="F22" s="304"/>
      <c r="G22" s="305"/>
      <c r="I22" s="306"/>
      <c r="J22" s="307"/>
      <c r="K22" s="308"/>
      <c r="L22" s="740"/>
      <c r="M22" s="741"/>
    </row>
    <row r="23" spans="1:13" ht="13.5" thickBot="1">
      <c r="A23" s="309"/>
      <c r="B23" s="310"/>
      <c r="C23" s="311"/>
      <c r="D23" s="312"/>
      <c r="E23" s="313"/>
      <c r="F23" s="314"/>
      <c r="G23" s="315"/>
      <c r="H23" s="313"/>
      <c r="I23" s="313"/>
      <c r="J23" s="316"/>
      <c r="K23" s="317"/>
      <c r="L23" s="318"/>
      <c r="M23" s="319"/>
    </row>
    <row r="24" spans="1:13" ht="15">
      <c r="A24" s="320"/>
      <c r="B24" s="321"/>
      <c r="C24" s="322"/>
      <c r="D24" s="322"/>
      <c r="E24" s="322"/>
      <c r="F24" s="322"/>
      <c r="G24" s="322"/>
      <c r="H24" s="322"/>
      <c r="I24" s="323"/>
      <c r="J24" s="324" t="s">
        <v>83</v>
      </c>
      <c r="K24" s="322"/>
      <c r="L24" s="322"/>
      <c r="M24" s="323"/>
    </row>
    <row r="25" spans="1:13" ht="15">
      <c r="A25" s="325"/>
      <c r="I25" s="327"/>
      <c r="J25" s="328"/>
      <c r="M25" s="327"/>
    </row>
    <row r="26" spans="1:13" ht="15">
      <c r="A26" s="325"/>
      <c r="I26" s="327"/>
      <c r="J26" s="737" t="s">
        <v>20</v>
      </c>
      <c r="K26" s="738"/>
      <c r="L26" s="738"/>
      <c r="M26" s="739"/>
    </row>
    <row r="27" spans="1:13" ht="15.75">
      <c r="A27" s="325"/>
      <c r="H27" s="329"/>
      <c r="I27" s="330"/>
      <c r="J27" s="730" t="str">
        <f>'dados de entrada'!B6</f>
        <v>Carlos Alberto Bley</v>
      </c>
      <c r="K27" s="731"/>
      <c r="L27" s="731"/>
      <c r="M27" s="732"/>
    </row>
    <row r="28" spans="1:13" ht="15.75" thickBot="1">
      <c r="A28" s="331"/>
      <c r="B28" s="332"/>
      <c r="C28" s="333"/>
      <c r="D28" s="313"/>
      <c r="E28" s="333"/>
      <c r="F28" s="334"/>
      <c r="G28" s="335"/>
      <c r="H28" s="336"/>
      <c r="I28" s="337"/>
      <c r="J28" s="742" t="str">
        <f>'dados de entrada'!B17</f>
        <v>Engenheiro Civil - CREA SC 008.333-3</v>
      </c>
      <c r="K28" s="743"/>
      <c r="L28" s="743"/>
      <c r="M28" s="744"/>
    </row>
    <row r="29" spans="1:14" s="264" customFormat="1" ht="15" customHeight="1">
      <c r="A29" s="252"/>
      <c r="B29" s="326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263"/>
    </row>
    <row r="30" spans="1:14" s="264" customFormat="1" ht="15" customHeight="1">
      <c r="A30" s="252"/>
      <c r="B30" s="326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263"/>
    </row>
    <row r="31" spans="1:14" s="264" customFormat="1" ht="15">
      <c r="A31" s="252"/>
      <c r="B31" s="326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263"/>
    </row>
  </sheetData>
  <sheetProtection/>
  <mergeCells count="21">
    <mergeCell ref="C6:D6"/>
    <mergeCell ref="J27:M27"/>
    <mergeCell ref="A7:B7"/>
    <mergeCell ref="G6:G7"/>
    <mergeCell ref="J26:M26"/>
    <mergeCell ref="L22:M22"/>
    <mergeCell ref="J28:M28"/>
    <mergeCell ref="K6:K7"/>
    <mergeCell ref="L6:M6"/>
    <mergeCell ref="A8:M8"/>
    <mergeCell ref="A20:E20"/>
    <mergeCell ref="L21:M21"/>
    <mergeCell ref="A1:M1"/>
    <mergeCell ref="A2:M2"/>
    <mergeCell ref="C3:M3"/>
    <mergeCell ref="A5:M5"/>
    <mergeCell ref="C4:M4"/>
    <mergeCell ref="H6:I6"/>
    <mergeCell ref="A6:B6"/>
    <mergeCell ref="J6:J7"/>
    <mergeCell ref="F6:F7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zoomScale="85" zoomScaleNormal="85" workbookViewId="0" topLeftCell="A1">
      <selection activeCell="N25" sqref="N25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832" t="s">
        <v>59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</row>
    <row r="2" spans="1:19" ht="27" thickBot="1">
      <c r="A2" s="831" t="str">
        <f>'dados de entrada'!B15</f>
        <v>PREFEITURA MUNICIPAL DE BOMBINHAS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</row>
    <row r="3" spans="1:19" ht="21" thickBot="1">
      <c r="A3" s="24" t="s">
        <v>60</v>
      </c>
      <c r="B3" s="25"/>
      <c r="C3" s="25"/>
      <c r="D3" s="821" t="str">
        <f>'dados de entrada'!B8</f>
        <v>PAVIMENTAÇÃO COM LAJOTAS SEXTAVADAS E DRENAGEM PLUVIAL </v>
      </c>
      <c r="E3" s="821"/>
      <c r="F3" s="821"/>
      <c r="G3" s="821"/>
      <c r="H3" s="821"/>
      <c r="I3" s="821"/>
      <c r="J3" s="821"/>
      <c r="K3" s="821"/>
      <c r="L3" s="822"/>
      <c r="M3" s="819" t="s">
        <v>61</v>
      </c>
      <c r="N3" s="820"/>
      <c r="O3" s="124">
        <f>'dados de entrada'!B3</f>
        <v>41671</v>
      </c>
      <c r="P3" s="837"/>
      <c r="Q3" s="838"/>
      <c r="R3" s="838"/>
      <c r="S3" s="839"/>
    </row>
    <row r="4" spans="1:19" ht="18.75" thickBot="1">
      <c r="A4" s="24" t="s">
        <v>62</v>
      </c>
      <c r="B4" s="26"/>
      <c r="C4" s="26"/>
      <c r="D4" s="821" t="str">
        <f>'dados de entrada'!C19</f>
        <v>RUA CAJÚ - BAIRRO SERTÃOZINHO</v>
      </c>
      <c r="E4" s="821"/>
      <c r="F4" s="821"/>
      <c r="G4" s="821"/>
      <c r="H4" s="821"/>
      <c r="I4" s="821"/>
      <c r="J4" s="821"/>
      <c r="K4" s="821"/>
      <c r="L4" s="822"/>
      <c r="M4" s="834" t="s">
        <v>63</v>
      </c>
      <c r="N4" s="835"/>
      <c r="O4" s="835"/>
      <c r="P4" s="835"/>
      <c r="Q4" s="835"/>
      <c r="R4" s="835"/>
      <c r="S4" s="836"/>
    </row>
    <row r="5" spans="1:19" ht="20.25">
      <c r="A5" s="833" t="s">
        <v>142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</row>
    <row r="6" spans="1:18" ht="21" thickBot="1">
      <c r="A6" s="814" t="s">
        <v>86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423">
        <v>62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44.63999999999999</v>
      </c>
      <c r="O8" s="40"/>
      <c r="P8" s="40"/>
      <c r="Q8" s="48">
        <f>(((PI()*(L8^2))/4))*F8</f>
        <v>7.406461760470618</v>
      </c>
      <c r="R8" s="43">
        <f>N8-(Q8)</f>
        <v>37.23353823952937</v>
      </c>
    </row>
    <row r="9" spans="1:18" ht="21" thickBot="1">
      <c r="A9" s="814" t="s">
        <v>93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</row>
    <row r="10" spans="1:23" s="49" customFormat="1" ht="60.75" thickBot="1">
      <c r="A10" s="824" t="s">
        <v>94</v>
      </c>
      <c r="B10" s="825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8"/>
      <c r="U10" s="179"/>
      <c r="V10" s="179"/>
      <c r="W10" s="180"/>
    </row>
    <row r="11" spans="1:23" s="50" customFormat="1" ht="15">
      <c r="A11" s="143">
        <f>Drenagem!A9</f>
        <v>1</v>
      </c>
      <c r="B11" s="142" t="str">
        <f>Drenagem!B9</f>
        <v>CL 1</v>
      </c>
      <c r="C11" s="138"/>
      <c r="D11" s="68">
        <v>0.9</v>
      </c>
      <c r="E11" s="68">
        <v>0.74</v>
      </c>
      <c r="F11" s="68">
        <f>Drenagem!E9</f>
        <v>40</v>
      </c>
      <c r="G11" s="68">
        <v>1</v>
      </c>
      <c r="H11" s="68">
        <f>Drenagem!M9</f>
        <v>0.4</v>
      </c>
      <c r="I11" s="68">
        <f aca="true" t="shared" si="0" ref="I11:I17">G11*F11</f>
        <v>40</v>
      </c>
      <c r="J11" s="68">
        <f aca="true" t="shared" si="1" ref="J11:J17">AVERAGE(D11:E11)</f>
        <v>0.8200000000000001</v>
      </c>
      <c r="K11" s="68">
        <f aca="true" t="shared" si="2" ref="K11:K17">IF(H11=0.4,0.2,IF(H11=0.6,0.35,IF(H11=0.8,0.4,IF(H11=1,0.45,IF(H11=1.2,0.5,IF(H11=1.5,0.6))))))</f>
        <v>0.2</v>
      </c>
      <c r="L11" s="112">
        <f aca="true" t="shared" si="3" ref="L11:L17">IF(H11=0.4,0.49,IF(H11=0.6,0.72,IF(H11=0.8,0.95,IF(H11=1,1.16,IF(H11=1.2,1.4,IF(H11=1.5,1.7))))))</f>
        <v>0.49</v>
      </c>
      <c r="M11" s="68">
        <f aca="true" t="shared" si="4" ref="M11:M17">IF(G11=1,(L11*G11)+(K11*2),((L11*G11)+(K11*2)+0.3))</f>
        <v>0.89</v>
      </c>
      <c r="N11" s="68">
        <f aca="true" t="shared" si="5" ref="N11:N17">IF(J11&lt;=1.5,F11*J11*M11,F11*1.5*M11)</f>
        <v>29.192000000000004</v>
      </c>
      <c r="O11" s="131" t="str">
        <f aca="true" t="shared" si="6" ref="O11:O17">IF(J11&gt;1.5,((J11-1.5)*M11*F11),"0")</f>
        <v>0</v>
      </c>
      <c r="P11" s="68">
        <f aca="true" t="shared" si="7" ref="P11:P17">0.06*0.6*I11</f>
        <v>1.44</v>
      </c>
      <c r="Q11" s="68">
        <f aca="true" t="shared" si="8" ref="Q11:Q17">(((PI()*(L11^2))/4)*G11)*F11</f>
        <v>7.542963961269092</v>
      </c>
      <c r="R11" s="68">
        <f aca="true" t="shared" si="9" ref="R11:R17">(N11+O11)-(P11+Q11)</f>
        <v>20.20903603873091</v>
      </c>
      <c r="S11" s="113">
        <f aca="true" t="shared" si="10" ref="S11:S17">IF(J11&lt;=1.5,0,(F11*2)*J11)</f>
        <v>0</v>
      </c>
      <c r="T11" s="181"/>
      <c r="U11" s="181"/>
      <c r="V11" s="181"/>
      <c r="W11" s="182"/>
    </row>
    <row r="12" spans="1:23" s="50" customFormat="1" ht="15">
      <c r="A12" s="115" t="str">
        <f>Drenagem!A10</f>
        <v>CL 1</v>
      </c>
      <c r="B12" s="111">
        <f>Drenagem!B10</f>
        <v>2</v>
      </c>
      <c r="C12" s="139"/>
      <c r="D12" s="64">
        <f>E11</f>
        <v>0.74</v>
      </c>
      <c r="E12" s="64">
        <v>0.9</v>
      </c>
      <c r="F12" s="64">
        <f>Drenagem!E10</f>
        <v>40</v>
      </c>
      <c r="G12" s="64">
        <v>1</v>
      </c>
      <c r="H12" s="64">
        <f>Drenagem!M10</f>
        <v>0.4</v>
      </c>
      <c r="I12" s="64">
        <f t="shared" si="0"/>
        <v>40</v>
      </c>
      <c r="J12" s="64">
        <f t="shared" si="1"/>
        <v>0.8200000000000001</v>
      </c>
      <c r="K12" s="64">
        <f t="shared" si="2"/>
        <v>0.2</v>
      </c>
      <c r="L12" s="67">
        <f t="shared" si="3"/>
        <v>0.49</v>
      </c>
      <c r="M12" s="64">
        <f t="shared" si="4"/>
        <v>0.89</v>
      </c>
      <c r="N12" s="64">
        <f t="shared" si="5"/>
        <v>29.192000000000004</v>
      </c>
      <c r="O12" s="130" t="str">
        <f t="shared" si="6"/>
        <v>0</v>
      </c>
      <c r="P12" s="64">
        <f t="shared" si="7"/>
        <v>1.44</v>
      </c>
      <c r="Q12" s="64">
        <f t="shared" si="8"/>
        <v>7.542963961269092</v>
      </c>
      <c r="R12" s="64">
        <f t="shared" si="9"/>
        <v>20.20903603873091</v>
      </c>
      <c r="S12" s="114">
        <f t="shared" si="10"/>
        <v>0</v>
      </c>
      <c r="T12" s="181"/>
      <c r="U12" s="181"/>
      <c r="V12" s="181"/>
      <c r="W12" s="182"/>
    </row>
    <row r="13" spans="1:23" s="50" customFormat="1" ht="15">
      <c r="A13" s="115">
        <f>Drenagem!A11</f>
        <v>2</v>
      </c>
      <c r="B13" s="111" t="str">
        <f>Drenagem!B11</f>
        <v>CL 2</v>
      </c>
      <c r="C13" s="139"/>
      <c r="D13" s="64">
        <f>E12</f>
        <v>0.9</v>
      </c>
      <c r="E13" s="64">
        <v>0.72</v>
      </c>
      <c r="F13" s="64">
        <f>Drenagem!E11</f>
        <v>40</v>
      </c>
      <c r="G13" s="64">
        <v>1</v>
      </c>
      <c r="H13" s="64">
        <f>Drenagem!M11</f>
        <v>0.4</v>
      </c>
      <c r="I13" s="64">
        <f t="shared" si="0"/>
        <v>40</v>
      </c>
      <c r="J13" s="64">
        <f t="shared" si="1"/>
        <v>0.81</v>
      </c>
      <c r="K13" s="64">
        <f t="shared" si="2"/>
        <v>0.2</v>
      </c>
      <c r="L13" s="67">
        <f t="shared" si="3"/>
        <v>0.49</v>
      </c>
      <c r="M13" s="64">
        <f t="shared" si="4"/>
        <v>0.89</v>
      </c>
      <c r="N13" s="64">
        <f t="shared" si="5"/>
        <v>28.836000000000006</v>
      </c>
      <c r="O13" s="130" t="str">
        <f t="shared" si="6"/>
        <v>0</v>
      </c>
      <c r="P13" s="64">
        <f t="shared" si="7"/>
        <v>1.44</v>
      </c>
      <c r="Q13" s="64">
        <f t="shared" si="8"/>
        <v>7.542963961269092</v>
      </c>
      <c r="R13" s="64">
        <f t="shared" si="9"/>
        <v>19.853036038730913</v>
      </c>
      <c r="S13" s="114">
        <f t="shared" si="10"/>
        <v>0</v>
      </c>
      <c r="T13" s="181"/>
      <c r="U13" s="181"/>
      <c r="V13" s="181"/>
      <c r="W13" s="182"/>
    </row>
    <row r="14" spans="1:23" s="50" customFormat="1" ht="15">
      <c r="A14" s="115" t="str">
        <f>Drenagem!A12</f>
        <v>CL 2</v>
      </c>
      <c r="B14" s="111">
        <f>Drenagem!B12</f>
        <v>3</v>
      </c>
      <c r="C14" s="139"/>
      <c r="D14" s="64">
        <f>E13</f>
        <v>0.72</v>
      </c>
      <c r="E14" s="64">
        <v>1.02</v>
      </c>
      <c r="F14" s="64">
        <f>Drenagem!E12</f>
        <v>40</v>
      </c>
      <c r="G14" s="64">
        <v>1</v>
      </c>
      <c r="H14" s="64">
        <f>Drenagem!M12</f>
        <v>0.4</v>
      </c>
      <c r="I14" s="64">
        <f t="shared" si="0"/>
        <v>40</v>
      </c>
      <c r="J14" s="64">
        <f t="shared" si="1"/>
        <v>0.87</v>
      </c>
      <c r="K14" s="64">
        <f t="shared" si="2"/>
        <v>0.2</v>
      </c>
      <c r="L14" s="67">
        <f t="shared" si="3"/>
        <v>0.49</v>
      </c>
      <c r="M14" s="64">
        <f t="shared" si="4"/>
        <v>0.89</v>
      </c>
      <c r="N14" s="64">
        <f t="shared" si="5"/>
        <v>30.971999999999998</v>
      </c>
      <c r="O14" s="130" t="str">
        <f t="shared" si="6"/>
        <v>0</v>
      </c>
      <c r="P14" s="64">
        <f t="shared" si="7"/>
        <v>1.44</v>
      </c>
      <c r="Q14" s="64">
        <f t="shared" si="8"/>
        <v>7.542963961269092</v>
      </c>
      <c r="R14" s="64">
        <f t="shared" si="9"/>
        <v>21.989036038730905</v>
      </c>
      <c r="S14" s="114">
        <f t="shared" si="10"/>
        <v>0</v>
      </c>
      <c r="T14" s="181"/>
      <c r="U14" s="181"/>
      <c r="V14" s="181"/>
      <c r="W14" s="182"/>
    </row>
    <row r="15" spans="1:23" s="50" customFormat="1" ht="15">
      <c r="A15" s="115">
        <f>Drenagem!A13</f>
        <v>3</v>
      </c>
      <c r="B15" s="111" t="str">
        <f>Drenagem!B13</f>
        <v>CL 3</v>
      </c>
      <c r="C15" s="139"/>
      <c r="D15" s="64">
        <v>1.22</v>
      </c>
      <c r="E15" s="64">
        <v>0.88</v>
      </c>
      <c r="F15" s="64">
        <f>Drenagem!E13</f>
        <v>50</v>
      </c>
      <c r="G15" s="64">
        <v>1</v>
      </c>
      <c r="H15" s="64">
        <f>Drenagem!M13</f>
        <v>0.6</v>
      </c>
      <c r="I15" s="64">
        <f t="shared" si="0"/>
        <v>50</v>
      </c>
      <c r="J15" s="64">
        <f t="shared" si="1"/>
        <v>1.05</v>
      </c>
      <c r="K15" s="64">
        <f t="shared" si="2"/>
        <v>0.35</v>
      </c>
      <c r="L15" s="67">
        <f t="shared" si="3"/>
        <v>0.72</v>
      </c>
      <c r="M15" s="64">
        <f t="shared" si="4"/>
        <v>1.42</v>
      </c>
      <c r="N15" s="64">
        <f t="shared" si="5"/>
        <v>74.55</v>
      </c>
      <c r="O15" s="130" t="str">
        <f t="shared" si="6"/>
        <v>0</v>
      </c>
      <c r="P15" s="64">
        <f t="shared" si="7"/>
        <v>1.7999999999999998</v>
      </c>
      <c r="Q15" s="64">
        <f t="shared" si="8"/>
        <v>20.357520395261858</v>
      </c>
      <c r="R15" s="64">
        <f t="shared" si="9"/>
        <v>52.39247960473814</v>
      </c>
      <c r="S15" s="114">
        <f t="shared" si="10"/>
        <v>0</v>
      </c>
      <c r="T15" s="181"/>
      <c r="U15" s="181"/>
      <c r="V15" s="181"/>
      <c r="W15" s="182"/>
    </row>
    <row r="16" spans="1:23" s="50" customFormat="1" ht="15">
      <c r="A16" s="115" t="str">
        <f>Drenagem!A14</f>
        <v>CL 3</v>
      </c>
      <c r="B16" s="111">
        <f>Drenagem!B14</f>
        <v>4</v>
      </c>
      <c r="C16" s="139"/>
      <c r="D16" s="64">
        <f>E15</f>
        <v>0.88</v>
      </c>
      <c r="E16" s="64">
        <v>1.12</v>
      </c>
      <c r="F16" s="64">
        <f>Drenagem!E14</f>
        <v>53</v>
      </c>
      <c r="G16" s="64">
        <v>1</v>
      </c>
      <c r="H16" s="64">
        <f>Drenagem!M14</f>
        <v>0.6</v>
      </c>
      <c r="I16" s="64">
        <f t="shared" si="0"/>
        <v>53</v>
      </c>
      <c r="J16" s="64">
        <f t="shared" si="1"/>
        <v>1</v>
      </c>
      <c r="K16" s="64">
        <f t="shared" si="2"/>
        <v>0.35</v>
      </c>
      <c r="L16" s="67">
        <f t="shared" si="3"/>
        <v>0.72</v>
      </c>
      <c r="M16" s="64">
        <f t="shared" si="4"/>
        <v>1.42</v>
      </c>
      <c r="N16" s="64">
        <f t="shared" si="5"/>
        <v>75.25999999999999</v>
      </c>
      <c r="O16" s="130" t="str">
        <f t="shared" si="6"/>
        <v>0</v>
      </c>
      <c r="P16" s="64">
        <f t="shared" si="7"/>
        <v>1.908</v>
      </c>
      <c r="Q16" s="64">
        <f t="shared" si="8"/>
        <v>21.57897161897757</v>
      </c>
      <c r="R16" s="64">
        <f t="shared" si="9"/>
        <v>51.77302838102242</v>
      </c>
      <c r="S16" s="114">
        <f t="shared" si="10"/>
        <v>0</v>
      </c>
      <c r="T16" s="181"/>
      <c r="U16" s="181"/>
      <c r="V16" s="181"/>
      <c r="W16" s="182"/>
    </row>
    <row r="17" spans="1:23" s="50" customFormat="1" ht="15">
      <c r="A17" s="115">
        <f>Drenagem!A15</f>
        <v>4</v>
      </c>
      <c r="B17" s="111" t="str">
        <f>Drenagem!B15</f>
        <v>BB</v>
      </c>
      <c r="C17" s="139"/>
      <c r="D17" s="64">
        <f>E16</f>
        <v>1.12</v>
      </c>
      <c r="E17" s="64">
        <v>1</v>
      </c>
      <c r="F17" s="64">
        <f>Drenagem!E15</f>
        <v>8</v>
      </c>
      <c r="G17" s="64">
        <v>1</v>
      </c>
      <c r="H17" s="64">
        <f>Drenagem!M15</f>
        <v>0.6</v>
      </c>
      <c r="I17" s="64">
        <f t="shared" si="0"/>
        <v>8</v>
      </c>
      <c r="J17" s="64">
        <f t="shared" si="1"/>
        <v>1.06</v>
      </c>
      <c r="K17" s="64">
        <f t="shared" si="2"/>
        <v>0.35</v>
      </c>
      <c r="L17" s="67">
        <f t="shared" si="3"/>
        <v>0.72</v>
      </c>
      <c r="M17" s="64">
        <f t="shared" si="4"/>
        <v>1.42</v>
      </c>
      <c r="N17" s="64">
        <f t="shared" si="5"/>
        <v>12.0416</v>
      </c>
      <c r="O17" s="130" t="str">
        <f t="shared" si="6"/>
        <v>0</v>
      </c>
      <c r="P17" s="64">
        <f t="shared" si="7"/>
        <v>0.288</v>
      </c>
      <c r="Q17" s="64">
        <f t="shared" si="8"/>
        <v>3.2572032632418972</v>
      </c>
      <c r="R17" s="64">
        <f t="shared" si="9"/>
        <v>8.496396736758104</v>
      </c>
      <c r="S17" s="114">
        <f t="shared" si="10"/>
        <v>0</v>
      </c>
      <c r="T17" s="181"/>
      <c r="U17" s="181"/>
      <c r="V17" s="181"/>
      <c r="W17" s="182"/>
    </row>
    <row r="18" spans="1:23" s="50" customFormat="1" ht="15">
      <c r="A18" s="115"/>
      <c r="B18" s="111"/>
      <c r="C18" s="139"/>
      <c r="D18" s="64"/>
      <c r="E18" s="64"/>
      <c r="F18" s="64"/>
      <c r="G18" s="64"/>
      <c r="H18" s="64"/>
      <c r="I18" s="64"/>
      <c r="J18" s="64"/>
      <c r="K18" s="64"/>
      <c r="L18" s="67"/>
      <c r="M18" s="64"/>
      <c r="N18" s="64"/>
      <c r="O18" s="130"/>
      <c r="P18" s="64"/>
      <c r="Q18" s="64"/>
      <c r="R18" s="64"/>
      <c r="S18" s="114"/>
      <c r="T18" s="181"/>
      <c r="U18" s="181"/>
      <c r="V18" s="181"/>
      <c r="W18" s="182"/>
    </row>
    <row r="19" spans="1:23" s="50" customFormat="1" ht="15">
      <c r="A19" s="115"/>
      <c r="B19" s="111"/>
      <c r="C19" s="139"/>
      <c r="D19" s="64"/>
      <c r="E19" s="64"/>
      <c r="F19" s="64"/>
      <c r="G19" s="64"/>
      <c r="H19" s="64"/>
      <c r="I19" s="64"/>
      <c r="J19" s="64"/>
      <c r="K19" s="64"/>
      <c r="L19" s="67"/>
      <c r="M19" s="64"/>
      <c r="N19" s="64"/>
      <c r="O19" s="130"/>
      <c r="P19" s="64"/>
      <c r="Q19" s="64"/>
      <c r="R19" s="64"/>
      <c r="S19" s="114"/>
      <c r="T19" s="181"/>
      <c r="U19" s="181"/>
      <c r="V19" s="181"/>
      <c r="W19" s="182"/>
    </row>
    <row r="20" spans="1:23" s="50" customFormat="1" ht="15.75" thickBot="1">
      <c r="A20" s="403"/>
      <c r="B20" s="404"/>
      <c r="C20" s="405"/>
      <c r="D20" s="406"/>
      <c r="E20" s="406"/>
      <c r="F20" s="406"/>
      <c r="G20" s="406"/>
      <c r="H20" s="406"/>
      <c r="I20" s="406"/>
      <c r="J20" s="406"/>
      <c r="K20" s="406"/>
      <c r="L20" s="407"/>
      <c r="M20" s="406"/>
      <c r="N20" s="406"/>
      <c r="O20" s="408"/>
      <c r="P20" s="406"/>
      <c r="Q20" s="406"/>
      <c r="R20" s="406"/>
      <c r="S20" s="409"/>
      <c r="T20" s="181"/>
      <c r="U20" s="181"/>
      <c r="V20" s="181"/>
      <c r="W20" s="182"/>
    </row>
    <row r="21" spans="1:23" s="51" customFormat="1" ht="19.5" thickBot="1">
      <c r="A21" s="828" t="s">
        <v>5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30"/>
      <c r="N21" s="402">
        <f>ROUNDUP(SUM(N11:N20)+N8,0)</f>
        <v>325</v>
      </c>
      <c r="O21" s="402">
        <f>ROUNDUP(SUM(O11:O20)+O8,0)</f>
        <v>0</v>
      </c>
      <c r="P21" s="402">
        <f>ROUNDUP(SUM(P11:P20),0)</f>
        <v>10</v>
      </c>
      <c r="Q21" s="402">
        <f>ROUNDUP(SUM(Q11:Q20)+Q8,0)</f>
        <v>83</v>
      </c>
      <c r="R21" s="402">
        <f>ROUNDUP(SUM(R11:R20)+R8,0)</f>
        <v>233</v>
      </c>
      <c r="S21" s="402">
        <f>ROUNDUP(SUM(S11:S20),0)</f>
        <v>0</v>
      </c>
      <c r="T21" s="183"/>
      <c r="U21" s="184"/>
      <c r="V21" s="184"/>
      <c r="W21" s="185"/>
    </row>
    <row r="22" spans="1:23" s="51" customFormat="1" ht="19.5" thickBot="1">
      <c r="A22" s="826" t="s">
        <v>99</v>
      </c>
      <c r="B22" s="827"/>
      <c r="C22" s="827"/>
      <c r="D22" s="827"/>
      <c r="E22" s="827"/>
      <c r="F22" s="827"/>
      <c r="G22" s="69" t="s">
        <v>32</v>
      </c>
      <c r="H22" s="793"/>
      <c r="I22" s="163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</row>
    <row r="23" spans="1:23" ht="19.5" thickBot="1">
      <c r="A23" s="802" t="s">
        <v>100</v>
      </c>
      <c r="B23" s="803"/>
      <c r="C23" s="803"/>
      <c r="D23" s="803"/>
      <c r="E23" s="803"/>
      <c r="F23" s="54">
        <f>F8</f>
        <v>62</v>
      </c>
      <c r="G23" s="55" t="s">
        <v>50</v>
      </c>
      <c r="H23" s="794"/>
      <c r="I23" s="807" t="s">
        <v>306</v>
      </c>
      <c r="J23" s="808"/>
      <c r="K23" s="808"/>
      <c r="L23" s="808"/>
      <c r="M23" s="235">
        <f>(SUMIF(H$11:H$20,0.4,J$11:J$20))</f>
        <v>3.3200000000000003</v>
      </c>
      <c r="N23" s="805">
        <v>0.92</v>
      </c>
      <c r="O23" s="166"/>
      <c r="P23" s="166"/>
      <c r="Q23" s="166"/>
      <c r="R23" s="166"/>
      <c r="S23" s="166"/>
      <c r="T23" s="166"/>
      <c r="U23" s="166"/>
      <c r="V23" s="166"/>
      <c r="W23" s="167"/>
    </row>
    <row r="24" spans="1:23" ht="19.5" thickBot="1">
      <c r="A24" s="798" t="s">
        <v>101</v>
      </c>
      <c r="B24" s="770"/>
      <c r="C24" s="770"/>
      <c r="D24" s="770"/>
      <c r="E24" s="770"/>
      <c r="F24" s="56">
        <f>SUMIF($H$11:$H$20,0.4,$I$11:$I$20)</f>
        <v>160</v>
      </c>
      <c r="G24" s="57" t="s">
        <v>50</v>
      </c>
      <c r="H24" s="794"/>
      <c r="I24" s="809"/>
      <c r="J24" s="810"/>
      <c r="K24" s="810"/>
      <c r="L24" s="810"/>
      <c r="M24" s="236">
        <f>SUMIF(H$11:H$20,0.6,J$11:J$20)</f>
        <v>3.11</v>
      </c>
      <c r="N24" s="806"/>
      <c r="O24" s="811" t="s">
        <v>231</v>
      </c>
      <c r="P24" s="812"/>
      <c r="Q24" s="813"/>
      <c r="R24" s="162">
        <v>0</v>
      </c>
      <c r="S24" s="844" t="s">
        <v>232</v>
      </c>
      <c r="T24" s="812"/>
      <c r="U24" s="812"/>
      <c r="V24" s="813"/>
      <c r="W24" s="162">
        <f>N23+0.2</f>
        <v>1.12</v>
      </c>
    </row>
    <row r="25" spans="1:25" ht="18.75">
      <c r="A25" s="798" t="s">
        <v>209</v>
      </c>
      <c r="B25" s="770"/>
      <c r="C25" s="770"/>
      <c r="D25" s="770"/>
      <c r="E25" s="770"/>
      <c r="F25" s="56">
        <f>SUMIF($H$11:$H$20,0.6,$I$11:$I$20)</f>
        <v>111</v>
      </c>
      <c r="G25" s="57" t="s">
        <v>50</v>
      </c>
      <c r="H25" s="794"/>
      <c r="I25" s="811" t="s">
        <v>247</v>
      </c>
      <c r="J25" s="812"/>
      <c r="K25" s="812"/>
      <c r="L25" s="812"/>
      <c r="M25" s="161">
        <f>SUMIF(H$11:H$20,0.8,J$11:J$20)</f>
        <v>0</v>
      </c>
      <c r="N25" s="162">
        <v>1.58</v>
      </c>
      <c r="O25" s="777" t="s">
        <v>231</v>
      </c>
      <c r="P25" s="778"/>
      <c r="Q25" s="779"/>
      <c r="R25" s="158"/>
      <c r="S25" s="777" t="s">
        <v>232</v>
      </c>
      <c r="T25" s="778"/>
      <c r="U25" s="778"/>
      <c r="V25" s="779"/>
      <c r="W25" s="162">
        <f>N25+0.2</f>
        <v>1.78</v>
      </c>
      <c r="Y25" s="23">
        <f>2*PI()*0.2</f>
        <v>1.2566370614359172</v>
      </c>
    </row>
    <row r="26" spans="1:23" ht="18.75">
      <c r="A26" s="798" t="s">
        <v>243</v>
      </c>
      <c r="B26" s="770"/>
      <c r="C26" s="770"/>
      <c r="D26" s="770"/>
      <c r="E26" s="770"/>
      <c r="F26" s="56">
        <f>SUMIF($H$11:$H$20,0.8,$I$11:$I$20)</f>
        <v>0</v>
      </c>
      <c r="G26" s="57" t="s">
        <v>50</v>
      </c>
      <c r="H26" s="794"/>
      <c r="I26" s="801" t="s">
        <v>248</v>
      </c>
      <c r="J26" s="778"/>
      <c r="K26" s="778"/>
      <c r="L26" s="778"/>
      <c r="M26" s="156">
        <f>SUMIF(H$11:H$20,1,J$11:J$20)</f>
        <v>0</v>
      </c>
      <c r="N26" s="158">
        <v>0</v>
      </c>
      <c r="O26" s="777" t="s">
        <v>231</v>
      </c>
      <c r="P26" s="778"/>
      <c r="Q26" s="779"/>
      <c r="R26" s="158">
        <f>IF(N26&lt;=1.5,0,N26-1.5)</f>
        <v>0</v>
      </c>
      <c r="S26" s="777" t="s">
        <v>232</v>
      </c>
      <c r="T26" s="778"/>
      <c r="U26" s="778"/>
      <c r="V26" s="779"/>
      <c r="W26" s="162">
        <v>0</v>
      </c>
    </row>
    <row r="27" spans="1:25" ht="18.75">
      <c r="A27" s="798" t="s">
        <v>244</v>
      </c>
      <c r="B27" s="770"/>
      <c r="C27" s="770"/>
      <c r="D27" s="770"/>
      <c r="E27" s="770"/>
      <c r="F27" s="56">
        <f>SUMIF($H$11:$H$20,1,$I$11:$I$20)</f>
        <v>0</v>
      </c>
      <c r="G27" s="57" t="s">
        <v>50</v>
      </c>
      <c r="H27" s="794"/>
      <c r="I27" s="801" t="s">
        <v>249</v>
      </c>
      <c r="J27" s="778"/>
      <c r="K27" s="778"/>
      <c r="L27" s="778"/>
      <c r="M27" s="156">
        <f>SUMIF(H$11:H$20,1.2,J$11:J$20)</f>
        <v>0</v>
      </c>
      <c r="N27" s="158">
        <f>IF(F36=0,0,M27/(F36+F37))</f>
        <v>0</v>
      </c>
      <c r="O27" s="777" t="s">
        <v>231</v>
      </c>
      <c r="P27" s="778"/>
      <c r="Q27" s="779"/>
      <c r="R27" s="158">
        <f>IF(N27&lt;=1.5,0,N27-1.5)</f>
        <v>0</v>
      </c>
      <c r="S27" s="777" t="s">
        <v>232</v>
      </c>
      <c r="T27" s="778"/>
      <c r="U27" s="778"/>
      <c r="V27" s="779"/>
      <c r="W27" s="162">
        <f>N27</f>
        <v>0</v>
      </c>
      <c r="X27" s="126"/>
      <c r="Y27" s="128"/>
    </row>
    <row r="28" spans="1:25" ht="19.5" thickBot="1">
      <c r="A28" s="798" t="s">
        <v>245</v>
      </c>
      <c r="B28" s="770"/>
      <c r="C28" s="770"/>
      <c r="D28" s="770"/>
      <c r="E28" s="770"/>
      <c r="F28" s="56">
        <f>SUMIF($H$11:$H$20,1.2,$I$11:$I$20)</f>
        <v>0</v>
      </c>
      <c r="G28" s="57" t="s">
        <v>50</v>
      </c>
      <c r="H28" s="794"/>
      <c r="I28" s="804" t="s">
        <v>250</v>
      </c>
      <c r="J28" s="781"/>
      <c r="K28" s="781"/>
      <c r="L28" s="781"/>
      <c r="M28" s="157"/>
      <c r="N28" s="159">
        <f>IF(F38=0,0,M28/(F38+F39))</f>
        <v>0</v>
      </c>
      <c r="O28" s="780" t="s">
        <v>231</v>
      </c>
      <c r="P28" s="781"/>
      <c r="Q28" s="782"/>
      <c r="R28" s="159">
        <f>IF(N28&lt;=1.5,0,N28-1.5)</f>
        <v>0</v>
      </c>
      <c r="S28" s="780" t="s">
        <v>232</v>
      </c>
      <c r="T28" s="781"/>
      <c r="U28" s="781"/>
      <c r="V28" s="782"/>
      <c r="W28" s="162"/>
      <c r="X28" s="126"/>
      <c r="Y28" s="128"/>
    </row>
    <row r="29" spans="1:25" ht="19.5" thickBot="1">
      <c r="A29" s="817" t="s">
        <v>246</v>
      </c>
      <c r="B29" s="818"/>
      <c r="C29" s="818"/>
      <c r="D29" s="818"/>
      <c r="E29" s="818"/>
      <c r="F29" s="140">
        <f>SUMIF($H$11:$H$20,1.5,$I$11:$I$20)</f>
        <v>0</v>
      </c>
      <c r="G29" s="127" t="s">
        <v>50</v>
      </c>
      <c r="H29" s="794"/>
      <c r="I29" s="786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8"/>
      <c r="X29" s="126"/>
      <c r="Y29" s="128"/>
    </row>
    <row r="30" spans="1:23" ht="18.75">
      <c r="A30" s="815" t="s">
        <v>300</v>
      </c>
      <c r="B30" s="816"/>
      <c r="C30" s="816"/>
      <c r="D30" s="816"/>
      <c r="E30" s="816"/>
      <c r="F30" s="160">
        <v>4</v>
      </c>
      <c r="G30" s="146">
        <v>3</v>
      </c>
      <c r="H30" s="794"/>
      <c r="I30" s="799" t="s">
        <v>302</v>
      </c>
      <c r="J30" s="800"/>
      <c r="K30" s="800"/>
      <c r="L30" s="800"/>
      <c r="M30" s="800"/>
      <c r="N30" s="229"/>
      <c r="O30" s="230" t="s">
        <v>4</v>
      </c>
      <c r="P30" s="789"/>
      <c r="Q30" s="815" t="s">
        <v>304</v>
      </c>
      <c r="R30" s="816"/>
      <c r="S30" s="816"/>
      <c r="T30" s="816"/>
      <c r="U30" s="816"/>
      <c r="V30" s="233"/>
      <c r="W30" s="146" t="s">
        <v>4</v>
      </c>
    </row>
    <row r="31" spans="1:23" ht="18.75">
      <c r="A31" s="773" t="s">
        <v>301</v>
      </c>
      <c r="B31" s="772"/>
      <c r="C31" s="772"/>
      <c r="D31" s="772"/>
      <c r="E31" s="772"/>
      <c r="F31" s="132">
        <v>3</v>
      </c>
      <c r="G31" s="147" t="s">
        <v>4</v>
      </c>
      <c r="H31" s="794"/>
      <c r="I31" s="771" t="s">
        <v>303</v>
      </c>
      <c r="J31" s="772"/>
      <c r="K31" s="772"/>
      <c r="L31" s="772"/>
      <c r="M31" s="772"/>
      <c r="N31" s="231"/>
      <c r="O31" s="232" t="s">
        <v>4</v>
      </c>
      <c r="P31" s="790"/>
      <c r="Q31" s="773" t="s">
        <v>305</v>
      </c>
      <c r="R31" s="772"/>
      <c r="S31" s="772"/>
      <c r="T31" s="772"/>
      <c r="U31" s="772"/>
      <c r="V31" s="231"/>
      <c r="W31" s="147" t="s">
        <v>4</v>
      </c>
    </row>
    <row r="32" spans="1:23" ht="18.75">
      <c r="A32" s="775" t="s">
        <v>235</v>
      </c>
      <c r="B32" s="766"/>
      <c r="C32" s="766"/>
      <c r="D32" s="766"/>
      <c r="E32" s="766"/>
      <c r="F32" s="134"/>
      <c r="G32" s="149" t="s">
        <v>4</v>
      </c>
      <c r="H32" s="794"/>
      <c r="I32" s="765" t="s">
        <v>282</v>
      </c>
      <c r="J32" s="766"/>
      <c r="K32" s="766"/>
      <c r="L32" s="766"/>
      <c r="M32" s="766"/>
      <c r="N32" s="134"/>
      <c r="O32" s="149" t="s">
        <v>4</v>
      </c>
      <c r="P32" s="790"/>
      <c r="Q32" s="775" t="s">
        <v>290</v>
      </c>
      <c r="R32" s="766"/>
      <c r="S32" s="766"/>
      <c r="T32" s="766"/>
      <c r="U32" s="766"/>
      <c r="V32" s="134"/>
      <c r="W32" s="149" t="s">
        <v>4</v>
      </c>
    </row>
    <row r="33" spans="1:23" ht="18.75">
      <c r="A33" s="775" t="s">
        <v>236</v>
      </c>
      <c r="B33" s="766"/>
      <c r="C33" s="766"/>
      <c r="D33" s="766"/>
      <c r="E33" s="766"/>
      <c r="F33" s="134"/>
      <c r="G33" s="149" t="s">
        <v>4</v>
      </c>
      <c r="H33" s="794"/>
      <c r="I33" s="765" t="s">
        <v>283</v>
      </c>
      <c r="J33" s="766"/>
      <c r="K33" s="766"/>
      <c r="L33" s="766"/>
      <c r="M33" s="766"/>
      <c r="N33" s="134"/>
      <c r="O33" s="149" t="s">
        <v>4</v>
      </c>
      <c r="P33" s="790"/>
      <c r="Q33" s="775" t="s">
        <v>291</v>
      </c>
      <c r="R33" s="766"/>
      <c r="S33" s="766"/>
      <c r="T33" s="766"/>
      <c r="U33" s="766"/>
      <c r="V33" s="134"/>
      <c r="W33" s="149" t="s">
        <v>4</v>
      </c>
    </row>
    <row r="34" spans="1:23" ht="18.75">
      <c r="A34" s="774" t="s">
        <v>237</v>
      </c>
      <c r="B34" s="760"/>
      <c r="C34" s="760"/>
      <c r="D34" s="760"/>
      <c r="E34" s="760"/>
      <c r="F34" s="135"/>
      <c r="G34" s="150" t="s">
        <v>4</v>
      </c>
      <c r="H34" s="794"/>
      <c r="I34" s="759" t="s">
        <v>284</v>
      </c>
      <c r="J34" s="760"/>
      <c r="K34" s="760"/>
      <c r="L34" s="760"/>
      <c r="M34" s="760"/>
      <c r="N34" s="135"/>
      <c r="O34" s="150" t="s">
        <v>4</v>
      </c>
      <c r="P34" s="790"/>
      <c r="Q34" s="774" t="s">
        <v>292</v>
      </c>
      <c r="R34" s="760"/>
      <c r="S34" s="760"/>
      <c r="T34" s="760"/>
      <c r="U34" s="760"/>
      <c r="V34" s="135"/>
      <c r="W34" s="150" t="s">
        <v>4</v>
      </c>
    </row>
    <row r="35" spans="1:23" ht="18.75">
      <c r="A35" s="774" t="s">
        <v>238</v>
      </c>
      <c r="B35" s="760"/>
      <c r="C35" s="760"/>
      <c r="D35" s="760"/>
      <c r="E35" s="760"/>
      <c r="F35" s="135"/>
      <c r="G35" s="150" t="s">
        <v>4</v>
      </c>
      <c r="H35" s="794"/>
      <c r="I35" s="759" t="s">
        <v>285</v>
      </c>
      <c r="J35" s="760"/>
      <c r="K35" s="760"/>
      <c r="L35" s="760"/>
      <c r="M35" s="760"/>
      <c r="N35" s="135"/>
      <c r="O35" s="150" t="s">
        <v>4</v>
      </c>
      <c r="P35" s="790"/>
      <c r="Q35" s="774" t="s">
        <v>293</v>
      </c>
      <c r="R35" s="760"/>
      <c r="S35" s="760"/>
      <c r="T35" s="760"/>
      <c r="U35" s="760"/>
      <c r="V35" s="135"/>
      <c r="W35" s="150" t="s">
        <v>4</v>
      </c>
    </row>
    <row r="36" spans="1:23" ht="18.75">
      <c r="A36" s="761" t="s">
        <v>239</v>
      </c>
      <c r="B36" s="762"/>
      <c r="C36" s="762"/>
      <c r="D36" s="762"/>
      <c r="E36" s="762"/>
      <c r="F36" s="136"/>
      <c r="G36" s="151" t="s">
        <v>4</v>
      </c>
      <c r="H36" s="794"/>
      <c r="I36" s="792" t="s">
        <v>286</v>
      </c>
      <c r="J36" s="762"/>
      <c r="K36" s="762"/>
      <c r="L36" s="762"/>
      <c r="M36" s="762"/>
      <c r="N36" s="136"/>
      <c r="O36" s="151" t="s">
        <v>4</v>
      </c>
      <c r="P36" s="790"/>
      <c r="Q36" s="761" t="s">
        <v>294</v>
      </c>
      <c r="R36" s="762"/>
      <c r="S36" s="762"/>
      <c r="T36" s="762"/>
      <c r="U36" s="762"/>
      <c r="V36" s="136"/>
      <c r="W36" s="151" t="s">
        <v>4</v>
      </c>
    </row>
    <row r="37" spans="1:23" ht="18.75">
      <c r="A37" s="761" t="s">
        <v>240</v>
      </c>
      <c r="B37" s="762"/>
      <c r="C37" s="762"/>
      <c r="D37" s="762"/>
      <c r="E37" s="762"/>
      <c r="F37" s="136"/>
      <c r="G37" s="151" t="s">
        <v>4</v>
      </c>
      <c r="H37" s="794"/>
      <c r="I37" s="792" t="s">
        <v>287</v>
      </c>
      <c r="J37" s="762"/>
      <c r="K37" s="762"/>
      <c r="L37" s="762"/>
      <c r="M37" s="762"/>
      <c r="N37" s="136"/>
      <c r="O37" s="151" t="s">
        <v>4</v>
      </c>
      <c r="P37" s="790"/>
      <c r="Q37" s="761" t="s">
        <v>295</v>
      </c>
      <c r="R37" s="762"/>
      <c r="S37" s="762"/>
      <c r="T37" s="762"/>
      <c r="U37" s="762"/>
      <c r="V37" s="136"/>
      <c r="W37" s="151" t="s">
        <v>4</v>
      </c>
    </row>
    <row r="38" spans="1:23" ht="18.75">
      <c r="A38" s="776" t="s">
        <v>241</v>
      </c>
      <c r="B38" s="768"/>
      <c r="C38" s="768"/>
      <c r="D38" s="768"/>
      <c r="E38" s="768"/>
      <c r="F38" s="137"/>
      <c r="G38" s="152" t="s">
        <v>4</v>
      </c>
      <c r="H38" s="794"/>
      <c r="I38" s="767" t="s">
        <v>288</v>
      </c>
      <c r="J38" s="768"/>
      <c r="K38" s="768"/>
      <c r="L38" s="768"/>
      <c r="M38" s="768"/>
      <c r="N38" s="137"/>
      <c r="O38" s="152" t="s">
        <v>4</v>
      </c>
      <c r="P38" s="790"/>
      <c r="Q38" s="776"/>
      <c r="R38" s="768"/>
      <c r="S38" s="768"/>
      <c r="T38" s="768"/>
      <c r="U38" s="768"/>
      <c r="V38" s="137"/>
      <c r="W38" s="152"/>
    </row>
    <row r="39" spans="1:23" ht="18.75">
      <c r="A39" s="776" t="s">
        <v>242</v>
      </c>
      <c r="B39" s="768"/>
      <c r="C39" s="768"/>
      <c r="D39" s="768"/>
      <c r="E39" s="768"/>
      <c r="F39" s="137"/>
      <c r="G39" s="152" t="s">
        <v>4</v>
      </c>
      <c r="H39" s="794"/>
      <c r="I39" s="767" t="s">
        <v>289</v>
      </c>
      <c r="J39" s="768"/>
      <c r="K39" s="768"/>
      <c r="L39" s="768"/>
      <c r="M39" s="768"/>
      <c r="N39" s="137"/>
      <c r="O39" s="152" t="s">
        <v>4</v>
      </c>
      <c r="P39" s="790"/>
      <c r="Q39" s="776"/>
      <c r="R39" s="768"/>
      <c r="S39" s="768"/>
      <c r="T39" s="768"/>
      <c r="U39" s="768"/>
      <c r="V39" s="137"/>
      <c r="W39" s="152"/>
    </row>
    <row r="40" spans="1:23" ht="18.75">
      <c r="A40" s="798" t="s">
        <v>102</v>
      </c>
      <c r="B40" s="770"/>
      <c r="C40" s="770"/>
      <c r="D40" s="770"/>
      <c r="E40" s="770"/>
      <c r="F40" s="121">
        <v>14</v>
      </c>
      <c r="G40" s="57" t="s">
        <v>4</v>
      </c>
      <c r="H40" s="794"/>
      <c r="I40" s="769" t="s">
        <v>252</v>
      </c>
      <c r="J40" s="770"/>
      <c r="K40" s="770"/>
      <c r="L40" s="770"/>
      <c r="M40" s="770"/>
      <c r="N40" s="121"/>
      <c r="O40" s="57" t="s">
        <v>4</v>
      </c>
      <c r="P40" s="790"/>
      <c r="Q40" s="798"/>
      <c r="R40" s="770"/>
      <c r="S40" s="770"/>
      <c r="T40" s="770"/>
      <c r="U40" s="770"/>
      <c r="V40" s="121"/>
      <c r="W40" s="57" t="s">
        <v>4</v>
      </c>
    </row>
    <row r="41" spans="1:23" ht="18.75">
      <c r="A41" s="773" t="s">
        <v>253</v>
      </c>
      <c r="B41" s="772"/>
      <c r="C41" s="772"/>
      <c r="D41" s="772"/>
      <c r="E41" s="772"/>
      <c r="F41" s="132"/>
      <c r="G41" s="147" t="s">
        <v>4</v>
      </c>
      <c r="H41" s="794"/>
      <c r="I41" s="771" t="s">
        <v>254</v>
      </c>
      <c r="J41" s="772"/>
      <c r="K41" s="772"/>
      <c r="L41" s="772"/>
      <c r="M41" s="772"/>
      <c r="N41" s="132"/>
      <c r="O41" s="147" t="s">
        <v>4</v>
      </c>
      <c r="P41" s="790"/>
      <c r="Q41" s="773" t="s">
        <v>383</v>
      </c>
      <c r="R41" s="772"/>
      <c r="S41" s="772"/>
      <c r="T41" s="772"/>
      <c r="U41" s="772"/>
      <c r="V41" s="132"/>
      <c r="W41" s="147" t="s">
        <v>4</v>
      </c>
    </row>
    <row r="42" spans="1:23" ht="18.75">
      <c r="A42" s="783" t="s">
        <v>255</v>
      </c>
      <c r="B42" s="784"/>
      <c r="C42" s="784"/>
      <c r="D42" s="784"/>
      <c r="E42" s="784"/>
      <c r="F42" s="133">
        <v>1</v>
      </c>
      <c r="G42" s="148" t="s">
        <v>4</v>
      </c>
      <c r="H42" s="794"/>
      <c r="I42" s="785" t="s">
        <v>256</v>
      </c>
      <c r="J42" s="784"/>
      <c r="K42" s="784"/>
      <c r="L42" s="784"/>
      <c r="M42" s="784"/>
      <c r="N42" s="133"/>
      <c r="O42" s="148" t="s">
        <v>4</v>
      </c>
      <c r="P42" s="790"/>
      <c r="Q42" s="783" t="s">
        <v>296</v>
      </c>
      <c r="R42" s="784"/>
      <c r="S42" s="784"/>
      <c r="T42" s="784"/>
      <c r="U42" s="784"/>
      <c r="V42" s="133"/>
      <c r="W42" s="148" t="s">
        <v>4</v>
      </c>
    </row>
    <row r="43" spans="1:23" ht="18.75">
      <c r="A43" s="775" t="s">
        <v>257</v>
      </c>
      <c r="B43" s="766"/>
      <c r="C43" s="766"/>
      <c r="D43" s="766"/>
      <c r="E43" s="766"/>
      <c r="F43" s="134"/>
      <c r="G43" s="149" t="s">
        <v>4</v>
      </c>
      <c r="H43" s="794"/>
      <c r="I43" s="765" t="s">
        <v>258</v>
      </c>
      <c r="J43" s="766"/>
      <c r="K43" s="766"/>
      <c r="L43" s="766"/>
      <c r="M43" s="766"/>
      <c r="N43" s="134"/>
      <c r="O43" s="149" t="s">
        <v>4</v>
      </c>
      <c r="P43" s="790"/>
      <c r="Q43" s="775" t="s">
        <v>297</v>
      </c>
      <c r="R43" s="766"/>
      <c r="S43" s="766"/>
      <c r="T43" s="766"/>
      <c r="U43" s="766"/>
      <c r="V43" s="134"/>
      <c r="W43" s="149" t="s">
        <v>4</v>
      </c>
    </row>
    <row r="44" spans="1:23" ht="18.75">
      <c r="A44" s="774" t="s">
        <v>259</v>
      </c>
      <c r="B44" s="760"/>
      <c r="C44" s="760"/>
      <c r="D44" s="760"/>
      <c r="E44" s="760"/>
      <c r="F44" s="135"/>
      <c r="G44" s="150" t="s">
        <v>4</v>
      </c>
      <c r="H44" s="794"/>
      <c r="I44" s="759" t="s">
        <v>260</v>
      </c>
      <c r="J44" s="760"/>
      <c r="K44" s="760"/>
      <c r="L44" s="760"/>
      <c r="M44" s="760"/>
      <c r="N44" s="135"/>
      <c r="O44" s="150" t="s">
        <v>4</v>
      </c>
      <c r="P44" s="790"/>
      <c r="Q44" s="774" t="s">
        <v>298</v>
      </c>
      <c r="R44" s="760"/>
      <c r="S44" s="760"/>
      <c r="T44" s="760"/>
      <c r="U44" s="760"/>
      <c r="V44" s="135"/>
      <c r="W44" s="150" t="s">
        <v>4</v>
      </c>
    </row>
    <row r="45" spans="1:23" ht="19.5" thickBot="1">
      <c r="A45" s="796" t="s">
        <v>410</v>
      </c>
      <c r="B45" s="797"/>
      <c r="C45" s="797"/>
      <c r="D45" s="797"/>
      <c r="E45" s="797"/>
      <c r="F45" s="154"/>
      <c r="G45" s="155" t="s">
        <v>4</v>
      </c>
      <c r="H45" s="795"/>
      <c r="I45" s="763" t="s">
        <v>261</v>
      </c>
      <c r="J45" s="764"/>
      <c r="K45" s="764"/>
      <c r="L45" s="764"/>
      <c r="M45" s="764"/>
      <c r="N45" s="141"/>
      <c r="O45" s="153" t="s">
        <v>4</v>
      </c>
      <c r="P45" s="791"/>
      <c r="Q45" s="843" t="s">
        <v>299</v>
      </c>
      <c r="R45" s="764"/>
      <c r="S45" s="764"/>
      <c r="T45" s="764"/>
      <c r="U45" s="764"/>
      <c r="V45" s="141"/>
      <c r="W45" s="153" t="s">
        <v>4</v>
      </c>
    </row>
    <row r="46" spans="1:19" ht="15.75" thickBot="1">
      <c r="A46" s="840" t="s">
        <v>159</v>
      </c>
      <c r="B46" s="841"/>
      <c r="C46" s="841"/>
      <c r="D46" s="841"/>
      <c r="E46" s="841"/>
      <c r="F46" s="841"/>
      <c r="G46" s="841"/>
      <c r="H46" s="841"/>
      <c r="I46" s="841"/>
      <c r="J46" s="842"/>
      <c r="S46" s="125"/>
    </row>
    <row r="48" spans="1:18" ht="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R48" s="125"/>
    </row>
    <row r="49" spans="1:10" ht="15">
      <c r="A49" s="129"/>
      <c r="B49" s="823"/>
      <c r="C49" s="823"/>
      <c r="D49" s="823"/>
      <c r="E49" s="823"/>
      <c r="F49" s="823"/>
      <c r="G49" s="823"/>
      <c r="H49" s="823"/>
      <c r="I49" s="823"/>
      <c r="J49" s="823"/>
    </row>
    <row r="50" spans="1:10" ht="15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5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73" spans="14:22" ht="18.75">
      <c r="N73" s="52"/>
      <c r="O73" s="52"/>
      <c r="P73" s="52"/>
      <c r="Q73" s="52"/>
      <c r="R73" s="52"/>
      <c r="S73" s="52"/>
      <c r="T73" s="53"/>
      <c r="U73" s="53"/>
      <c r="V73" s="53"/>
    </row>
  </sheetData>
  <sheetProtection/>
  <mergeCells count="89">
    <mergeCell ref="A1:S1"/>
    <mergeCell ref="A5:S5"/>
    <mergeCell ref="M4:S4"/>
    <mergeCell ref="P3:S3"/>
    <mergeCell ref="A46:J46"/>
    <mergeCell ref="Q44:U44"/>
    <mergeCell ref="Q45:U45"/>
    <mergeCell ref="S24:V24"/>
    <mergeCell ref="S25:V25"/>
    <mergeCell ref="S28:V28"/>
    <mergeCell ref="Q40:U40"/>
    <mergeCell ref="Q34:U34"/>
    <mergeCell ref="Q42:U42"/>
    <mergeCell ref="Q32:U32"/>
    <mergeCell ref="A2:S2"/>
    <mergeCell ref="Q43:U43"/>
    <mergeCell ref="Q36:U36"/>
    <mergeCell ref="Q37:U37"/>
    <mergeCell ref="Q38:U38"/>
    <mergeCell ref="Q39:U39"/>
    <mergeCell ref="Q35:U35"/>
    <mergeCell ref="Q41:U41"/>
    <mergeCell ref="M3:N3"/>
    <mergeCell ref="D3:L3"/>
    <mergeCell ref="D4:L4"/>
    <mergeCell ref="B49:J49"/>
    <mergeCell ref="A6:R6"/>
    <mergeCell ref="A10:B10"/>
    <mergeCell ref="A22:F22"/>
    <mergeCell ref="A21:M21"/>
    <mergeCell ref="A9:R9"/>
    <mergeCell ref="A25:E25"/>
    <mergeCell ref="A30:E30"/>
    <mergeCell ref="Q30:U30"/>
    <mergeCell ref="Q31:U31"/>
    <mergeCell ref="A26:E26"/>
    <mergeCell ref="A27:E27"/>
    <mergeCell ref="A28:E28"/>
    <mergeCell ref="A29:E29"/>
    <mergeCell ref="O26:Q26"/>
    <mergeCell ref="S26:V26"/>
    <mergeCell ref="S27:V27"/>
    <mergeCell ref="O25:Q25"/>
    <mergeCell ref="I27:L27"/>
    <mergeCell ref="I28:L28"/>
    <mergeCell ref="N23:N24"/>
    <mergeCell ref="I23:L24"/>
    <mergeCell ref="O24:Q24"/>
    <mergeCell ref="I25:L25"/>
    <mergeCell ref="A43:E43"/>
    <mergeCell ref="I43:M43"/>
    <mergeCell ref="H22:H45"/>
    <mergeCell ref="A45:E45"/>
    <mergeCell ref="A40:E40"/>
    <mergeCell ref="I30:M30"/>
    <mergeCell ref="I31:M31"/>
    <mergeCell ref="I26:L26"/>
    <mergeCell ref="A23:E23"/>
    <mergeCell ref="A24:E24"/>
    <mergeCell ref="A36:E36"/>
    <mergeCell ref="O27:Q27"/>
    <mergeCell ref="O28:Q28"/>
    <mergeCell ref="A42:E42"/>
    <mergeCell ref="I42:M42"/>
    <mergeCell ref="I29:W29"/>
    <mergeCell ref="P30:P45"/>
    <mergeCell ref="Q33:U33"/>
    <mergeCell ref="I37:M37"/>
    <mergeCell ref="I36:M36"/>
    <mergeCell ref="I35:M35"/>
    <mergeCell ref="A31:E31"/>
    <mergeCell ref="A44:E44"/>
    <mergeCell ref="A41:E41"/>
    <mergeCell ref="A32:E32"/>
    <mergeCell ref="A39:E39"/>
    <mergeCell ref="A38:E38"/>
    <mergeCell ref="A34:E34"/>
    <mergeCell ref="A33:E33"/>
    <mergeCell ref="A35:E35"/>
    <mergeCell ref="I44:M44"/>
    <mergeCell ref="A37:E37"/>
    <mergeCell ref="I45:M45"/>
    <mergeCell ref="I32:M32"/>
    <mergeCell ref="I33:M33"/>
    <mergeCell ref="I38:M38"/>
    <mergeCell ref="I39:M39"/>
    <mergeCell ref="I40:M40"/>
    <mergeCell ref="I41:M41"/>
    <mergeCell ref="I34:M34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="85" zoomScaleNormal="85" zoomScalePageLayoutView="0" workbookViewId="0" topLeftCell="A22">
      <selection activeCell="B36" sqref="B36"/>
    </sheetView>
  </sheetViews>
  <sheetFormatPr defaultColWidth="9.140625" defaultRowHeight="12.75"/>
  <cols>
    <col min="1" max="1" width="18.140625" style="0" bestFit="1" customWidth="1"/>
    <col min="2" max="2" width="122.0039062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8" customFormat="1" ht="18">
      <c r="A1" s="887" t="s">
        <v>59</v>
      </c>
      <c r="B1" s="887"/>
      <c r="C1" s="887"/>
      <c r="D1" s="887"/>
      <c r="E1" s="887"/>
      <c r="F1" s="887"/>
      <c r="G1" s="187"/>
      <c r="H1" s="187"/>
      <c r="K1" s="189"/>
      <c r="L1" s="190"/>
      <c r="M1" s="191"/>
      <c r="N1" s="191"/>
      <c r="O1" s="190"/>
    </row>
    <row r="2" spans="1:15" s="188" customFormat="1" ht="26.25" thickBot="1">
      <c r="A2" s="854" t="str">
        <f>'dados de entrada'!B15</f>
        <v>PREFEITURA MUNICIPAL DE BOMBINHAS</v>
      </c>
      <c r="B2" s="854"/>
      <c r="C2" s="854"/>
      <c r="D2" s="854"/>
      <c r="E2" s="854"/>
      <c r="F2" s="854"/>
      <c r="G2" s="192"/>
      <c r="H2" s="192"/>
      <c r="K2" s="189"/>
      <c r="L2" s="190"/>
      <c r="M2" s="191"/>
      <c r="N2" s="191"/>
      <c r="O2" s="190"/>
    </row>
    <row r="3" spans="1:15" s="188" customFormat="1" ht="12.75">
      <c r="A3" s="881" t="s">
        <v>17</v>
      </c>
      <c r="B3" s="882"/>
      <c r="C3" s="882"/>
      <c r="D3" s="882"/>
      <c r="E3" s="882"/>
      <c r="F3" s="193" t="s">
        <v>110</v>
      </c>
      <c r="G3" s="194"/>
      <c r="H3" s="194"/>
      <c r="K3" s="189"/>
      <c r="L3" s="190"/>
      <c r="M3" s="191"/>
      <c r="N3" s="191"/>
      <c r="O3" s="190"/>
    </row>
    <row r="4" spans="1:15" s="188" customFormat="1" ht="18.75" thickBot="1">
      <c r="A4" s="855" t="str">
        <f>'dados de entrada'!B8</f>
        <v>PAVIMENTAÇÃO COM LAJOTAS SEXTAVADAS E DRENAGEM PLUVIAL </v>
      </c>
      <c r="B4" s="856"/>
      <c r="C4" s="857"/>
      <c r="D4" s="857"/>
      <c r="E4" s="856"/>
      <c r="F4" s="398">
        <f>'dados de entrada'!B3</f>
        <v>41671</v>
      </c>
      <c r="G4" s="195"/>
      <c r="H4" s="195"/>
      <c r="K4" s="189"/>
      <c r="L4" s="190"/>
      <c r="M4" s="191"/>
      <c r="N4" s="191"/>
      <c r="O4" s="190"/>
    </row>
    <row r="5" spans="1:15" s="188" customFormat="1" ht="12.75">
      <c r="A5" s="397" t="s">
        <v>200</v>
      </c>
      <c r="B5" s="874"/>
      <c r="C5" s="874"/>
      <c r="D5" s="874"/>
      <c r="E5" s="870" t="s">
        <v>19</v>
      </c>
      <c r="F5" s="871"/>
      <c r="G5" s="194"/>
      <c r="H5" s="196"/>
      <c r="K5" s="189"/>
      <c r="L5" s="190"/>
      <c r="M5" s="191"/>
      <c r="N5" s="191"/>
      <c r="O5" s="190"/>
    </row>
    <row r="6" spans="1:15" s="188" customFormat="1" ht="18">
      <c r="A6" s="396" t="str">
        <f>'dados de entrada'!C19</f>
        <v>RUA CAJÚ - BAIRRO SERTÃOZINHO</v>
      </c>
      <c r="B6" s="399"/>
      <c r="C6" s="399"/>
      <c r="D6" s="399"/>
      <c r="E6" s="868" t="s">
        <v>201</v>
      </c>
      <c r="F6" s="869"/>
      <c r="G6" s="197"/>
      <c r="H6" s="197"/>
      <c r="K6" s="189"/>
      <c r="L6" s="190"/>
      <c r="M6" s="191"/>
      <c r="N6" s="191"/>
      <c r="O6" s="190"/>
    </row>
    <row r="7" spans="1:15" s="188" customFormat="1" ht="15.75" thickBot="1">
      <c r="A7" s="872"/>
      <c r="B7" s="873"/>
      <c r="C7" s="873"/>
      <c r="D7" s="873"/>
      <c r="E7" s="400" t="s">
        <v>433</v>
      </c>
      <c r="F7" s="401">
        <f>'dados de entrada'!B10</f>
        <v>0.25</v>
      </c>
      <c r="G7" s="198"/>
      <c r="H7" s="198"/>
      <c r="K7" s="189"/>
      <c r="L7" s="190"/>
      <c r="M7" s="191"/>
      <c r="N7" s="191"/>
      <c r="O7" s="190"/>
    </row>
    <row r="8" spans="1:15" s="188" customFormat="1" ht="21" thickBot="1">
      <c r="A8" s="426">
        <f>'dados de entrada'!B3</f>
        <v>41671</v>
      </c>
      <c r="B8" s="427" t="s">
        <v>386</v>
      </c>
      <c r="C8" s="886" t="s">
        <v>387</v>
      </c>
      <c r="D8" s="886"/>
      <c r="E8" s="886"/>
      <c r="F8" s="886"/>
      <c r="G8" s="199"/>
      <c r="H8" s="199"/>
      <c r="K8" s="189"/>
      <c r="L8" s="190"/>
      <c r="M8" s="191"/>
      <c r="N8" s="191"/>
      <c r="O8" s="190"/>
    </row>
    <row r="9" spans="1:15" s="200" customFormat="1" ht="18.75" thickBot="1">
      <c r="A9" s="428" t="s">
        <v>0</v>
      </c>
      <c r="B9" s="429" t="s">
        <v>1</v>
      </c>
      <c r="C9" s="429" t="s">
        <v>2</v>
      </c>
      <c r="D9" s="429" t="s">
        <v>10</v>
      </c>
      <c r="E9" s="911" t="s">
        <v>48</v>
      </c>
      <c r="F9" s="912"/>
      <c r="I9" s="201"/>
      <c r="K9" s="906" t="s">
        <v>49</v>
      </c>
      <c r="L9" s="907"/>
      <c r="M9" s="907"/>
      <c r="N9" s="907"/>
      <c r="O9" s="908"/>
    </row>
    <row r="10" spans="1:15" s="200" customFormat="1" ht="18">
      <c r="A10" s="411" t="s">
        <v>547</v>
      </c>
      <c r="B10" s="412" t="s">
        <v>51</v>
      </c>
      <c r="C10" s="413"/>
      <c r="D10" s="202"/>
      <c r="E10" s="890"/>
      <c r="F10" s="891"/>
      <c r="I10" s="201"/>
      <c r="K10" s="203"/>
      <c r="L10" s="203"/>
      <c r="M10" s="203"/>
      <c r="N10" s="203"/>
      <c r="O10" s="203"/>
    </row>
    <row r="11" spans="1:15" s="200" customFormat="1" ht="18">
      <c r="A11" s="339" t="s">
        <v>8</v>
      </c>
      <c r="B11" s="410" t="s">
        <v>207</v>
      </c>
      <c r="C11" s="424" t="s">
        <v>3</v>
      </c>
      <c r="D11" s="204">
        <v>3</v>
      </c>
      <c r="E11" s="845" t="s">
        <v>196</v>
      </c>
      <c r="F11" s="846"/>
      <c r="I11" s="201"/>
      <c r="K11" s="203"/>
      <c r="L11" s="203"/>
      <c r="M11" s="203"/>
      <c r="N11" s="203"/>
      <c r="O11" s="203"/>
    </row>
    <row r="12" spans="1:15" s="200" customFormat="1" ht="18.75" thickBot="1">
      <c r="A12" s="567"/>
      <c r="B12" s="568"/>
      <c r="C12" s="569"/>
      <c r="D12" s="570"/>
      <c r="E12" s="913"/>
      <c r="F12" s="914"/>
      <c r="I12" s="201"/>
      <c r="K12" s="203"/>
      <c r="L12" s="203"/>
      <c r="M12" s="203"/>
      <c r="N12" s="203"/>
      <c r="O12" s="203"/>
    </row>
    <row r="13" spans="1:15" s="200" customFormat="1" ht="18">
      <c r="A13" s="411" t="s">
        <v>550</v>
      </c>
      <c r="B13" s="412" t="s">
        <v>56</v>
      </c>
      <c r="C13" s="413"/>
      <c r="D13" s="202"/>
      <c r="E13" s="888"/>
      <c r="F13" s="889"/>
      <c r="I13" s="201"/>
      <c r="K13" s="203"/>
      <c r="L13" s="203"/>
      <c r="M13" s="203"/>
      <c r="N13" s="203"/>
      <c r="O13" s="203"/>
    </row>
    <row r="14" spans="1:15" s="200" customFormat="1" ht="18">
      <c r="A14" s="339" t="s">
        <v>52</v>
      </c>
      <c r="B14" s="410" t="s">
        <v>425</v>
      </c>
      <c r="C14" s="659" t="s">
        <v>9</v>
      </c>
      <c r="D14" s="204">
        <f>Escavação!N21+Escavação!O21</f>
        <v>325</v>
      </c>
      <c r="E14" s="845" t="s">
        <v>58</v>
      </c>
      <c r="F14" s="846"/>
      <c r="I14" s="201"/>
      <c r="K14" s="203"/>
      <c r="L14" s="203"/>
      <c r="M14" s="203"/>
      <c r="N14" s="203"/>
      <c r="O14" s="203"/>
    </row>
    <row r="15" spans="1:15" s="200" customFormat="1" ht="18">
      <c r="A15" s="339" t="s">
        <v>53</v>
      </c>
      <c r="B15" s="410" t="s">
        <v>208</v>
      </c>
      <c r="C15" s="659" t="s">
        <v>9</v>
      </c>
      <c r="D15" s="204">
        <f>ROUND(Escavação!P21,0)</f>
        <v>10</v>
      </c>
      <c r="E15" s="845" t="s">
        <v>58</v>
      </c>
      <c r="F15" s="846"/>
      <c r="I15" s="201"/>
      <c r="K15" s="203"/>
      <c r="L15" s="203"/>
      <c r="M15" s="203"/>
      <c r="N15" s="203"/>
      <c r="O15" s="203"/>
    </row>
    <row r="16" spans="1:15" s="200" customFormat="1" ht="18">
      <c r="A16" s="339" t="s">
        <v>54</v>
      </c>
      <c r="B16" s="410" t="s">
        <v>592</v>
      </c>
      <c r="C16" s="690" t="s">
        <v>50</v>
      </c>
      <c r="D16" s="204">
        <v>62</v>
      </c>
      <c r="E16" s="845" t="s">
        <v>58</v>
      </c>
      <c r="F16" s="846"/>
      <c r="I16" s="201"/>
      <c r="K16" s="203"/>
      <c r="L16" s="203"/>
      <c r="M16" s="203"/>
      <c r="N16" s="203"/>
      <c r="O16" s="203"/>
    </row>
    <row r="17" spans="1:15" s="200" customFormat="1" ht="18">
      <c r="A17" s="339" t="s">
        <v>55</v>
      </c>
      <c r="B17" s="410" t="s">
        <v>593</v>
      </c>
      <c r="C17" s="659" t="s">
        <v>50</v>
      </c>
      <c r="D17" s="204">
        <f>Escavação!F23</f>
        <v>62</v>
      </c>
      <c r="E17" s="845" t="s">
        <v>58</v>
      </c>
      <c r="F17" s="846"/>
      <c r="I17" s="201"/>
      <c r="K17" s="203"/>
      <c r="L17" s="203"/>
      <c r="M17" s="203"/>
      <c r="N17" s="203"/>
      <c r="O17" s="203"/>
    </row>
    <row r="18" spans="1:15" s="200" customFormat="1" ht="18">
      <c r="A18" s="339" t="s">
        <v>151</v>
      </c>
      <c r="B18" s="410" t="s">
        <v>594</v>
      </c>
      <c r="C18" s="690" t="s">
        <v>50</v>
      </c>
      <c r="D18" s="204">
        <v>160</v>
      </c>
      <c r="E18" s="845" t="s">
        <v>58</v>
      </c>
      <c r="F18" s="846"/>
      <c r="I18" s="201"/>
      <c r="K18" s="203"/>
      <c r="L18" s="203"/>
      <c r="M18" s="203"/>
      <c r="N18" s="203"/>
      <c r="O18" s="203"/>
    </row>
    <row r="19" spans="1:15" s="200" customFormat="1" ht="18">
      <c r="A19" s="339" t="s">
        <v>198</v>
      </c>
      <c r="B19" s="410" t="s">
        <v>595</v>
      </c>
      <c r="C19" s="659" t="s">
        <v>50</v>
      </c>
      <c r="D19" s="204">
        <f>Escavação!F24</f>
        <v>160</v>
      </c>
      <c r="E19" s="845" t="s">
        <v>58</v>
      </c>
      <c r="F19" s="846"/>
      <c r="I19" s="201"/>
      <c r="K19" s="203"/>
      <c r="L19" s="203"/>
      <c r="M19" s="203"/>
      <c r="N19" s="203"/>
      <c r="O19" s="203"/>
    </row>
    <row r="20" spans="1:15" s="200" customFormat="1" ht="18">
      <c r="A20" s="339" t="s">
        <v>199</v>
      </c>
      <c r="B20" s="410" t="s">
        <v>596</v>
      </c>
      <c r="C20" s="690" t="s">
        <v>50</v>
      </c>
      <c r="D20" s="204">
        <v>111</v>
      </c>
      <c r="E20" s="845" t="s">
        <v>58</v>
      </c>
      <c r="F20" s="846"/>
      <c r="I20" s="201"/>
      <c r="K20" s="203"/>
      <c r="L20" s="203"/>
      <c r="M20" s="203"/>
      <c r="N20" s="203"/>
      <c r="O20" s="203"/>
    </row>
    <row r="21" spans="1:15" s="200" customFormat="1" ht="18">
      <c r="A21" s="339" t="s">
        <v>388</v>
      </c>
      <c r="B21" s="410" t="s">
        <v>597</v>
      </c>
      <c r="C21" s="659" t="s">
        <v>50</v>
      </c>
      <c r="D21" s="204">
        <f>Escavação!F25</f>
        <v>111</v>
      </c>
      <c r="E21" s="845" t="s">
        <v>58</v>
      </c>
      <c r="F21" s="846"/>
      <c r="I21" s="201"/>
      <c r="K21" s="203"/>
      <c r="L21" s="203"/>
      <c r="M21" s="203"/>
      <c r="N21" s="203"/>
      <c r="O21" s="203"/>
    </row>
    <row r="22" spans="1:15" s="200" customFormat="1" ht="18">
      <c r="A22" s="847" t="s">
        <v>389</v>
      </c>
      <c r="B22" s="848" t="s">
        <v>420</v>
      </c>
      <c r="C22" s="851" t="s">
        <v>3</v>
      </c>
      <c r="D22" s="851">
        <f>ROUND((F22+F23+F24),0)</f>
        <v>212</v>
      </c>
      <c r="E22" s="338" t="s">
        <v>423</v>
      </c>
      <c r="F22" s="340">
        <f>(((2*PI()*0.19)+0.3)*D17)*0.3</f>
        <v>27.784776875572657</v>
      </c>
      <c r="G22" s="205"/>
      <c r="I22" s="201"/>
      <c r="K22" s="203"/>
      <c r="L22" s="203"/>
      <c r="M22" s="203"/>
      <c r="N22" s="203"/>
      <c r="O22" s="203"/>
    </row>
    <row r="23" spans="1:15" s="200" customFormat="1" ht="18">
      <c r="A23" s="847"/>
      <c r="B23" s="849"/>
      <c r="C23" s="851"/>
      <c r="D23" s="851"/>
      <c r="E23" s="338" t="s">
        <v>424</v>
      </c>
      <c r="F23" s="340">
        <f>(((2*PI()*0.26)+0.3)*D19)*0.3</f>
        <v>92.81415263360124</v>
      </c>
      <c r="G23" s="205"/>
      <c r="I23" s="201"/>
      <c r="K23" s="203"/>
      <c r="L23" s="203"/>
      <c r="M23" s="203"/>
      <c r="N23" s="203"/>
      <c r="O23" s="203"/>
    </row>
    <row r="24" spans="1:15" s="200" customFormat="1" ht="18">
      <c r="A24" s="847"/>
      <c r="B24" s="849"/>
      <c r="C24" s="851"/>
      <c r="D24" s="851"/>
      <c r="E24" s="338" t="s">
        <v>569</v>
      </c>
      <c r="F24" s="340">
        <f>(((2*PI()*0.39)+0.3)*D21)*0.3</f>
        <v>91.58972758434128</v>
      </c>
      <c r="G24" s="205"/>
      <c r="I24" s="201"/>
      <c r="K24" s="203"/>
      <c r="L24" s="203"/>
      <c r="M24" s="203"/>
      <c r="N24" s="203"/>
      <c r="O24" s="203"/>
    </row>
    <row r="25" spans="1:15" s="200" customFormat="1" ht="18">
      <c r="A25" s="847"/>
      <c r="B25" s="850"/>
      <c r="C25" s="851"/>
      <c r="D25" s="851"/>
      <c r="E25" s="338"/>
      <c r="F25" s="340"/>
      <c r="G25" s="205"/>
      <c r="I25" s="201"/>
      <c r="K25" s="203"/>
      <c r="L25" s="203"/>
      <c r="M25" s="203"/>
      <c r="N25" s="203"/>
      <c r="O25" s="203"/>
    </row>
    <row r="26" spans="1:15" s="200" customFormat="1" ht="18">
      <c r="A26" s="339" t="s">
        <v>390</v>
      </c>
      <c r="B26" s="410" t="s">
        <v>214</v>
      </c>
      <c r="C26" s="659" t="s">
        <v>9</v>
      </c>
      <c r="D26" s="204">
        <f>ROUND(Escavação!R21,1)</f>
        <v>233</v>
      </c>
      <c r="E26" s="845" t="s">
        <v>58</v>
      </c>
      <c r="F26" s="846"/>
      <c r="I26" s="201"/>
      <c r="K26" s="203"/>
      <c r="L26" s="203"/>
      <c r="M26" s="203"/>
      <c r="N26" s="203"/>
      <c r="O26" s="203"/>
    </row>
    <row r="27" spans="1:15" s="200" customFormat="1" ht="18">
      <c r="A27" s="339" t="s">
        <v>570</v>
      </c>
      <c r="B27" s="410" t="s">
        <v>454</v>
      </c>
      <c r="C27" s="659" t="s">
        <v>9</v>
      </c>
      <c r="D27" s="204">
        <f>D14-D26</f>
        <v>92</v>
      </c>
      <c r="E27" s="845" t="s">
        <v>58</v>
      </c>
      <c r="F27" s="846"/>
      <c r="I27" s="201"/>
      <c r="K27" s="203"/>
      <c r="L27" s="203"/>
      <c r="M27" s="203"/>
      <c r="N27" s="203"/>
      <c r="O27" s="203"/>
    </row>
    <row r="28" spans="1:15" s="200" customFormat="1" ht="18">
      <c r="A28" s="339" t="s">
        <v>571</v>
      </c>
      <c r="B28" s="410" t="s">
        <v>418</v>
      </c>
      <c r="C28" s="659" t="s">
        <v>4</v>
      </c>
      <c r="D28" s="204">
        <f>Escavação!F30</f>
        <v>4</v>
      </c>
      <c r="E28" s="845" t="s">
        <v>58</v>
      </c>
      <c r="F28" s="846"/>
      <c r="I28" s="201"/>
      <c r="K28" s="203"/>
      <c r="L28" s="203"/>
      <c r="M28" s="203"/>
      <c r="N28" s="203"/>
      <c r="O28" s="203"/>
    </row>
    <row r="29" spans="1:15" s="200" customFormat="1" ht="18">
      <c r="A29" s="339" t="s">
        <v>589</v>
      </c>
      <c r="B29" s="410" t="s">
        <v>419</v>
      </c>
      <c r="C29" s="659" t="s">
        <v>4</v>
      </c>
      <c r="D29" s="204">
        <f>Escavação!F31</f>
        <v>3</v>
      </c>
      <c r="E29" s="845" t="s">
        <v>58</v>
      </c>
      <c r="F29" s="846"/>
      <c r="I29" s="201"/>
      <c r="K29" s="203"/>
      <c r="L29" s="203"/>
      <c r="M29" s="203"/>
      <c r="N29" s="203"/>
      <c r="O29" s="203"/>
    </row>
    <row r="30" spans="1:15" s="200" customFormat="1" ht="18">
      <c r="A30" s="339" t="s">
        <v>590</v>
      </c>
      <c r="B30" s="410" t="s">
        <v>451</v>
      </c>
      <c r="C30" s="659" t="s">
        <v>4</v>
      </c>
      <c r="D30" s="204">
        <f>Escavação!F40</f>
        <v>14</v>
      </c>
      <c r="E30" s="845" t="s">
        <v>58</v>
      </c>
      <c r="F30" s="846"/>
      <c r="I30" s="201"/>
      <c r="K30" s="203"/>
      <c r="L30" s="203"/>
      <c r="M30" s="203"/>
      <c r="N30" s="203"/>
      <c r="O30" s="203"/>
    </row>
    <row r="31" spans="1:15" s="200" customFormat="1" ht="18">
      <c r="A31" s="339" t="s">
        <v>591</v>
      </c>
      <c r="B31" s="410" t="s">
        <v>577</v>
      </c>
      <c r="C31" s="659" t="s">
        <v>4</v>
      </c>
      <c r="D31" s="204">
        <f>Escavação!F42</f>
        <v>1</v>
      </c>
      <c r="E31" s="845" t="s">
        <v>58</v>
      </c>
      <c r="F31" s="846"/>
      <c r="I31" s="201"/>
      <c r="K31" s="203"/>
      <c r="L31" s="203"/>
      <c r="M31" s="203"/>
      <c r="N31" s="203"/>
      <c r="O31" s="203"/>
    </row>
    <row r="32" spans="1:15" s="200" customFormat="1" ht="18.75" thickBot="1">
      <c r="A32" s="341"/>
      <c r="B32" s="415"/>
      <c r="C32" s="660"/>
      <c r="D32" s="206"/>
      <c r="E32" s="884"/>
      <c r="F32" s="885"/>
      <c r="I32" s="201"/>
      <c r="K32" s="203"/>
      <c r="L32" s="203"/>
      <c r="M32" s="203"/>
      <c r="N32" s="203"/>
      <c r="O32" s="203"/>
    </row>
    <row r="33" spans="1:15" s="207" customFormat="1" ht="15.75">
      <c r="A33" s="571" t="s">
        <v>554</v>
      </c>
      <c r="B33" s="572" t="s">
        <v>553</v>
      </c>
      <c r="C33" s="610"/>
      <c r="D33" s="611"/>
      <c r="E33" s="909"/>
      <c r="F33" s="910"/>
      <c r="I33" s="208"/>
      <c r="K33" s="209"/>
      <c r="L33" s="208"/>
      <c r="M33" s="210"/>
      <c r="N33" s="210"/>
      <c r="O33" s="208"/>
    </row>
    <row r="34" spans="1:15" s="200" customFormat="1" ht="18">
      <c r="A34" s="414" t="s">
        <v>57</v>
      </c>
      <c r="B34" s="410" t="s">
        <v>215</v>
      </c>
      <c r="C34" s="527" t="s">
        <v>3</v>
      </c>
      <c r="D34" s="211">
        <v>2235.35</v>
      </c>
      <c r="E34" s="845" t="s">
        <v>414</v>
      </c>
      <c r="F34" s="846"/>
      <c r="H34" s="212"/>
      <c r="I34" s="201"/>
      <c r="K34" s="203"/>
      <c r="L34" s="203"/>
      <c r="M34" s="203"/>
      <c r="N34" s="203"/>
      <c r="O34" s="203"/>
    </row>
    <row r="35" spans="1:15" s="200" customFormat="1" ht="18">
      <c r="A35" s="414" t="s">
        <v>411</v>
      </c>
      <c r="B35" s="410" t="s">
        <v>560</v>
      </c>
      <c r="C35" s="636" t="s">
        <v>50</v>
      </c>
      <c r="D35" s="211">
        <v>563</v>
      </c>
      <c r="E35" s="845" t="s">
        <v>414</v>
      </c>
      <c r="F35" s="846"/>
      <c r="H35" s="212"/>
      <c r="I35" s="201"/>
      <c r="K35" s="203"/>
      <c r="L35" s="203"/>
      <c r="M35" s="203"/>
      <c r="N35" s="203"/>
      <c r="O35" s="203"/>
    </row>
    <row r="36" spans="1:15" s="200" customFormat="1" ht="18">
      <c r="A36" s="414" t="s">
        <v>412</v>
      </c>
      <c r="B36" s="410" t="s">
        <v>611</v>
      </c>
      <c r="C36" s="527" t="s">
        <v>3</v>
      </c>
      <c r="D36" s="211">
        <f>D34</f>
        <v>2235.35</v>
      </c>
      <c r="E36" s="845" t="s">
        <v>414</v>
      </c>
      <c r="F36" s="846"/>
      <c r="H36" s="212"/>
      <c r="I36" s="201"/>
      <c r="K36" s="203"/>
      <c r="L36" s="203"/>
      <c r="M36" s="203"/>
      <c r="N36" s="203"/>
      <c r="O36" s="203"/>
    </row>
    <row r="37" spans="1:15" s="200" customFormat="1" ht="18.75" thickBot="1">
      <c r="A37" s="430"/>
      <c r="B37" s="415"/>
      <c r="C37" s="425"/>
      <c r="D37" s="431"/>
      <c r="E37" s="884"/>
      <c r="F37" s="885"/>
      <c r="H37" s="212"/>
      <c r="I37" s="201"/>
      <c r="K37" s="203"/>
      <c r="L37" s="203"/>
      <c r="M37" s="203"/>
      <c r="N37" s="203"/>
      <c r="O37" s="203"/>
    </row>
    <row r="38" spans="1:15" s="200" customFormat="1" ht="18">
      <c r="A38" s="571" t="s">
        <v>556</v>
      </c>
      <c r="B38" s="572" t="s">
        <v>435</v>
      </c>
      <c r="C38" s="573"/>
      <c r="D38" s="574"/>
      <c r="E38" s="909"/>
      <c r="F38" s="910"/>
      <c r="H38" s="212"/>
      <c r="I38" s="201"/>
      <c r="K38" s="203"/>
      <c r="L38" s="203"/>
      <c r="M38" s="203"/>
      <c r="N38" s="203"/>
      <c r="O38" s="203"/>
    </row>
    <row r="39" spans="1:15" s="200" customFormat="1" ht="18">
      <c r="A39" s="414" t="s">
        <v>147</v>
      </c>
      <c r="B39" s="410" t="s">
        <v>599</v>
      </c>
      <c r="C39" s="424" t="s">
        <v>9</v>
      </c>
      <c r="D39" s="211">
        <f>ROUND((1003+40)*0.05,0)</f>
        <v>52</v>
      </c>
      <c r="E39" s="845" t="s">
        <v>578</v>
      </c>
      <c r="F39" s="846"/>
      <c r="H39" s="212"/>
      <c r="I39" s="201"/>
      <c r="K39" s="203"/>
      <c r="L39" s="203"/>
      <c r="M39" s="203"/>
      <c r="N39" s="203"/>
      <c r="O39" s="203"/>
    </row>
    <row r="40" spans="1:15" s="200" customFormat="1" ht="18">
      <c r="A40" s="414" t="s">
        <v>392</v>
      </c>
      <c r="B40" s="410" t="s">
        <v>600</v>
      </c>
      <c r="C40" s="690" t="s">
        <v>3</v>
      </c>
      <c r="D40" s="211">
        <v>1043</v>
      </c>
      <c r="E40" s="852" t="s">
        <v>598</v>
      </c>
      <c r="F40" s="853"/>
      <c r="H40" s="212"/>
      <c r="I40" s="201"/>
      <c r="K40" s="203"/>
      <c r="L40" s="203"/>
      <c r="M40" s="203"/>
      <c r="N40" s="203"/>
      <c r="O40" s="203"/>
    </row>
    <row r="41" spans="1:15" s="200" customFormat="1" ht="18">
      <c r="A41" s="414" t="s">
        <v>437</v>
      </c>
      <c r="B41" s="410" t="s">
        <v>436</v>
      </c>
      <c r="C41" s="424" t="s">
        <v>50</v>
      </c>
      <c r="D41" s="211">
        <v>57</v>
      </c>
      <c r="E41" s="845" t="s">
        <v>414</v>
      </c>
      <c r="F41" s="846"/>
      <c r="H41" s="212"/>
      <c r="I41" s="201"/>
      <c r="K41" s="203"/>
      <c r="L41" s="203"/>
      <c r="M41" s="203"/>
      <c r="N41" s="203"/>
      <c r="O41" s="203"/>
    </row>
    <row r="42" spans="1:15" s="200" customFormat="1" ht="18">
      <c r="A42" s="414" t="s">
        <v>438</v>
      </c>
      <c r="B42" s="410" t="s">
        <v>457</v>
      </c>
      <c r="C42" s="424" t="s">
        <v>3</v>
      </c>
      <c r="D42" s="211">
        <v>890.5</v>
      </c>
      <c r="E42" s="845" t="s">
        <v>414</v>
      </c>
      <c r="F42" s="846"/>
      <c r="H42" s="212"/>
      <c r="I42" s="201"/>
      <c r="K42" s="203"/>
      <c r="L42" s="203"/>
      <c r="M42" s="203"/>
      <c r="N42" s="203"/>
      <c r="O42" s="203"/>
    </row>
    <row r="43" spans="1:15" s="200" customFormat="1" ht="18">
      <c r="A43" s="414" t="s">
        <v>439</v>
      </c>
      <c r="B43" s="410" t="s">
        <v>561</v>
      </c>
      <c r="C43" s="604" t="s">
        <v>3</v>
      </c>
      <c r="D43" s="211">
        <v>106.7</v>
      </c>
      <c r="E43" s="845" t="s">
        <v>414</v>
      </c>
      <c r="F43" s="846"/>
      <c r="H43" s="212"/>
      <c r="I43" s="201"/>
      <c r="K43" s="203"/>
      <c r="L43" s="203"/>
      <c r="M43" s="203"/>
      <c r="N43" s="203"/>
      <c r="O43" s="203"/>
    </row>
    <row r="44" spans="1:15" s="200" customFormat="1" ht="18">
      <c r="A44" s="414" t="s">
        <v>562</v>
      </c>
      <c r="B44" s="410" t="s">
        <v>453</v>
      </c>
      <c r="C44" s="424" t="s">
        <v>3</v>
      </c>
      <c r="D44" s="211">
        <v>5.8</v>
      </c>
      <c r="E44" s="845" t="s">
        <v>414</v>
      </c>
      <c r="F44" s="846"/>
      <c r="H44" s="212"/>
      <c r="I44" s="201"/>
      <c r="K44" s="203"/>
      <c r="L44" s="203"/>
      <c r="M44" s="203"/>
      <c r="N44" s="203"/>
      <c r="O44" s="203"/>
    </row>
    <row r="45" spans="1:15" s="200" customFormat="1" ht="18.75" thickBot="1">
      <c r="A45" s="430"/>
      <c r="B45" s="415"/>
      <c r="C45" s="425"/>
      <c r="D45" s="431"/>
      <c r="E45" s="860"/>
      <c r="F45" s="861"/>
      <c r="H45" s="212"/>
      <c r="I45" s="201"/>
      <c r="K45" s="203"/>
      <c r="L45" s="203"/>
      <c r="M45" s="203"/>
      <c r="N45" s="203"/>
      <c r="O45" s="203"/>
    </row>
    <row r="46" spans="1:15" s="200" customFormat="1" ht="18">
      <c r="A46" s="411" t="s">
        <v>557</v>
      </c>
      <c r="B46" s="412" t="s">
        <v>440</v>
      </c>
      <c r="C46" s="418"/>
      <c r="D46" s="420"/>
      <c r="E46" s="890"/>
      <c r="F46" s="891"/>
      <c r="H46" s="212"/>
      <c r="I46" s="201"/>
      <c r="K46" s="203"/>
      <c r="L46" s="203"/>
      <c r="M46" s="203"/>
      <c r="N46" s="203"/>
      <c r="O46" s="203"/>
    </row>
    <row r="47" spans="1:15" s="200" customFormat="1" ht="18">
      <c r="A47" s="414" t="s">
        <v>444</v>
      </c>
      <c r="B47" s="410" t="s">
        <v>441</v>
      </c>
      <c r="C47" s="424" t="s">
        <v>9</v>
      </c>
      <c r="D47" s="211">
        <f>ROUND(40*0.07,0)</f>
        <v>3</v>
      </c>
      <c r="E47" s="845" t="s">
        <v>579</v>
      </c>
      <c r="F47" s="846"/>
      <c r="H47" s="212"/>
      <c r="I47" s="201"/>
      <c r="K47" s="203"/>
      <c r="L47" s="203"/>
      <c r="M47" s="203"/>
      <c r="N47" s="203"/>
      <c r="O47" s="203"/>
    </row>
    <row r="48" spans="1:15" s="200" customFormat="1" ht="18">
      <c r="A48" s="414" t="s">
        <v>445</v>
      </c>
      <c r="B48" s="410" t="s">
        <v>442</v>
      </c>
      <c r="C48" s="424" t="s">
        <v>3</v>
      </c>
      <c r="D48" s="211">
        <f>ROUNDUP(0.6*0.6*4,1)</f>
        <v>1.5</v>
      </c>
      <c r="E48" s="845" t="s">
        <v>580</v>
      </c>
      <c r="F48" s="846"/>
      <c r="H48" s="212"/>
      <c r="I48" s="201"/>
      <c r="K48" s="203"/>
      <c r="L48" s="203"/>
      <c r="M48" s="203"/>
      <c r="N48" s="203"/>
      <c r="O48" s="203"/>
    </row>
    <row r="49" spans="1:15" s="200" customFormat="1" ht="18">
      <c r="A49" s="414" t="s">
        <v>446</v>
      </c>
      <c r="B49" s="410" t="s">
        <v>443</v>
      </c>
      <c r="C49" s="424" t="s">
        <v>3</v>
      </c>
      <c r="D49" s="211">
        <f>ROUND(0.039*4,1)</f>
        <v>0.2</v>
      </c>
      <c r="E49" s="845" t="s">
        <v>581</v>
      </c>
      <c r="F49" s="846"/>
      <c r="H49" s="212"/>
      <c r="I49" s="201"/>
      <c r="K49" s="203"/>
      <c r="L49" s="203"/>
      <c r="M49" s="203"/>
      <c r="N49" s="203"/>
      <c r="O49" s="203"/>
    </row>
    <row r="50" spans="1:15" s="200" customFormat="1" ht="18.75" thickBot="1">
      <c r="A50" s="430"/>
      <c r="B50" s="415"/>
      <c r="C50" s="425"/>
      <c r="D50" s="431"/>
      <c r="E50" s="860"/>
      <c r="F50" s="861"/>
      <c r="H50" s="212"/>
      <c r="I50" s="201"/>
      <c r="K50" s="203"/>
      <c r="L50" s="203"/>
      <c r="M50" s="203"/>
      <c r="N50" s="203"/>
      <c r="O50" s="203"/>
    </row>
    <row r="51" spans="1:15" s="200" customFormat="1" ht="18">
      <c r="A51" s="416" t="s">
        <v>558</v>
      </c>
      <c r="B51" s="412" t="s">
        <v>391</v>
      </c>
      <c r="C51" s="417"/>
      <c r="D51" s="239"/>
      <c r="E51" s="890"/>
      <c r="F51" s="891"/>
      <c r="G51" s="213"/>
      <c r="H51" s="213"/>
      <c r="I51" s="201"/>
      <c r="K51" s="203"/>
      <c r="L51" s="203"/>
      <c r="M51" s="203"/>
      <c r="N51" s="203"/>
      <c r="O51" s="203"/>
    </row>
    <row r="52" spans="1:15" s="200" customFormat="1" ht="18">
      <c r="A52" s="421" t="s">
        <v>448</v>
      </c>
      <c r="B52" s="410" t="s">
        <v>447</v>
      </c>
      <c r="C52" s="419" t="s">
        <v>3</v>
      </c>
      <c r="D52" s="238">
        <f>ROUNDUP(12.56*2,1)</f>
        <v>25.200000000000003</v>
      </c>
      <c r="E52" s="845" t="s">
        <v>582</v>
      </c>
      <c r="F52" s="846"/>
      <c r="G52" s="213"/>
      <c r="H52" s="213"/>
      <c r="I52" s="201"/>
      <c r="K52" s="203"/>
      <c r="L52" s="203"/>
      <c r="M52" s="203"/>
      <c r="N52" s="203"/>
      <c r="O52" s="203"/>
    </row>
    <row r="53" spans="1:15" s="200" customFormat="1" ht="18">
      <c r="A53" s="421" t="s">
        <v>449</v>
      </c>
      <c r="B53" s="410" t="s">
        <v>605</v>
      </c>
      <c r="C53" s="659" t="s">
        <v>3</v>
      </c>
      <c r="D53" s="238">
        <f>0.3*2</f>
        <v>0.6</v>
      </c>
      <c r="E53" s="845" t="s">
        <v>572</v>
      </c>
      <c r="F53" s="846"/>
      <c r="G53" s="213"/>
      <c r="H53" s="213"/>
      <c r="I53" s="201"/>
      <c r="K53" s="203"/>
      <c r="L53" s="203"/>
      <c r="M53" s="203"/>
      <c r="N53" s="203"/>
      <c r="O53" s="203"/>
    </row>
    <row r="54" spans="1:15" s="200" customFormat="1" ht="18">
      <c r="A54" s="421" t="s">
        <v>450</v>
      </c>
      <c r="B54" s="410" t="s">
        <v>606</v>
      </c>
      <c r="C54" s="659" t="s">
        <v>3</v>
      </c>
      <c r="D54" s="238">
        <v>0.6</v>
      </c>
      <c r="E54" s="845" t="s">
        <v>583</v>
      </c>
      <c r="F54" s="846"/>
      <c r="G54" s="213"/>
      <c r="H54" s="213"/>
      <c r="I54" s="201"/>
      <c r="K54" s="203"/>
      <c r="L54" s="203"/>
      <c r="M54" s="203"/>
      <c r="N54" s="203"/>
      <c r="O54" s="203"/>
    </row>
    <row r="55" spans="1:15" s="200" customFormat="1" ht="18">
      <c r="A55" s="421" t="s">
        <v>452</v>
      </c>
      <c r="B55" s="410" t="s">
        <v>607</v>
      </c>
      <c r="C55" s="659" t="s">
        <v>3</v>
      </c>
      <c r="D55" s="238">
        <f>ROUND(0.36*4,1)</f>
        <v>1.4</v>
      </c>
      <c r="E55" s="845" t="s">
        <v>584</v>
      </c>
      <c r="F55" s="846"/>
      <c r="G55" s="213"/>
      <c r="H55" s="213"/>
      <c r="I55" s="201"/>
      <c r="K55" s="203"/>
      <c r="L55" s="203"/>
      <c r="M55" s="203"/>
      <c r="N55" s="203"/>
      <c r="O55" s="203"/>
    </row>
    <row r="56" spans="1:15" s="200" customFormat="1" ht="18">
      <c r="A56" s="421" t="s">
        <v>456</v>
      </c>
      <c r="B56" s="410" t="s">
        <v>608</v>
      </c>
      <c r="C56" s="691" t="s">
        <v>50</v>
      </c>
      <c r="D56" s="238">
        <f>3.1*8</f>
        <v>24.8</v>
      </c>
      <c r="E56" s="852" t="s">
        <v>609</v>
      </c>
      <c r="F56" s="853"/>
      <c r="G56" s="213"/>
      <c r="H56" s="213"/>
      <c r="I56" s="201"/>
      <c r="K56" s="203"/>
      <c r="L56" s="203"/>
      <c r="M56" s="203"/>
      <c r="N56" s="203"/>
      <c r="O56" s="203"/>
    </row>
    <row r="57" spans="1:15" s="200" customFormat="1" ht="18">
      <c r="A57" s="421" t="s">
        <v>610</v>
      </c>
      <c r="B57" s="410" t="s">
        <v>413</v>
      </c>
      <c r="C57" s="424" t="s">
        <v>4</v>
      </c>
      <c r="D57" s="204">
        <v>2</v>
      </c>
      <c r="E57" s="845" t="s">
        <v>414</v>
      </c>
      <c r="F57" s="846"/>
      <c r="G57" s="213"/>
      <c r="H57" s="213"/>
      <c r="I57" s="201"/>
      <c r="K57" s="203"/>
      <c r="L57" s="203"/>
      <c r="M57" s="203"/>
      <c r="N57" s="203"/>
      <c r="O57" s="203"/>
    </row>
    <row r="58" spans="1:15" s="200" customFormat="1" ht="18.75" thickBot="1">
      <c r="A58" s="422"/>
      <c r="B58" s="415"/>
      <c r="C58" s="425"/>
      <c r="D58" s="206"/>
      <c r="E58" s="860"/>
      <c r="F58" s="861"/>
      <c r="G58" s="213"/>
      <c r="H58" s="213"/>
      <c r="I58" s="201"/>
      <c r="K58" s="203"/>
      <c r="L58" s="203"/>
      <c r="M58" s="203"/>
      <c r="N58" s="203"/>
      <c r="O58" s="203"/>
    </row>
    <row r="59" spans="1:15" s="207" customFormat="1" ht="16.5" thickBot="1">
      <c r="A59" s="214"/>
      <c r="B59" s="215"/>
      <c r="C59" s="216"/>
      <c r="D59" s="217"/>
      <c r="E59" s="218"/>
      <c r="F59" s="218"/>
      <c r="I59" s="208"/>
      <c r="K59" s="209"/>
      <c r="L59" s="208"/>
      <c r="M59" s="210"/>
      <c r="N59" s="210"/>
      <c r="O59" s="208"/>
    </row>
    <row r="60" spans="1:15" s="207" customFormat="1" ht="15.75">
      <c r="A60" s="919" t="str">
        <f>'dados de entrada'!B15</f>
        <v>PREFEITURA MUNICIPAL DE BOMBINHAS</v>
      </c>
      <c r="B60" s="920"/>
      <c r="C60" s="881" t="s">
        <v>202</v>
      </c>
      <c r="D60" s="882"/>
      <c r="E60" s="882"/>
      <c r="F60" s="883"/>
      <c r="G60" s="194"/>
      <c r="H60" s="194"/>
      <c r="I60" s="208"/>
      <c r="K60" s="209"/>
      <c r="L60" s="208"/>
      <c r="M60" s="210"/>
      <c r="N60" s="210"/>
      <c r="O60" s="208"/>
    </row>
    <row r="61" spans="1:15" s="207" customFormat="1" ht="15.75">
      <c r="A61" s="858"/>
      <c r="B61" s="859"/>
      <c r="C61" s="862"/>
      <c r="D61" s="863"/>
      <c r="E61" s="863"/>
      <c r="F61" s="864"/>
      <c r="G61" s="219"/>
      <c r="H61" s="219"/>
      <c r="I61" s="208"/>
      <c r="K61" s="209"/>
      <c r="L61" s="208"/>
      <c r="M61" s="210"/>
      <c r="N61" s="210"/>
      <c r="O61" s="208"/>
    </row>
    <row r="62" spans="1:15" s="207" customFormat="1" ht="15.75" customHeight="1">
      <c r="A62" s="858"/>
      <c r="B62" s="859"/>
      <c r="C62" s="865" t="s">
        <v>206</v>
      </c>
      <c r="D62" s="866"/>
      <c r="E62" s="866"/>
      <c r="F62" s="867"/>
      <c r="G62" s="220"/>
      <c r="H62" s="221"/>
      <c r="I62" s="208"/>
      <c r="K62" s="209"/>
      <c r="L62" s="208"/>
      <c r="M62" s="210"/>
      <c r="N62" s="210"/>
      <c r="O62" s="208"/>
    </row>
    <row r="63" spans="1:15" s="207" customFormat="1" ht="15.75">
      <c r="A63" s="858"/>
      <c r="B63" s="859"/>
      <c r="C63" s="922" t="s">
        <v>205</v>
      </c>
      <c r="D63" s="923"/>
      <c r="E63" s="923"/>
      <c r="F63" s="924"/>
      <c r="G63" s="222"/>
      <c r="H63" s="223"/>
      <c r="I63" s="208"/>
      <c r="K63" s="209"/>
      <c r="L63" s="208"/>
      <c r="M63" s="210"/>
      <c r="N63" s="210"/>
      <c r="O63" s="208"/>
    </row>
    <row r="64" spans="1:15" s="207" customFormat="1" ht="15.75">
      <c r="A64" s="858"/>
      <c r="B64" s="859"/>
      <c r="C64" s="862"/>
      <c r="D64" s="863"/>
      <c r="E64" s="863"/>
      <c r="F64" s="864"/>
      <c r="G64" s="224"/>
      <c r="H64" s="224"/>
      <c r="I64" s="208"/>
      <c r="K64" s="209"/>
      <c r="L64" s="208"/>
      <c r="M64" s="210"/>
      <c r="N64" s="210"/>
      <c r="O64" s="208"/>
    </row>
    <row r="65" spans="1:15" s="207" customFormat="1" ht="15.75">
      <c r="A65" s="858"/>
      <c r="B65" s="859"/>
      <c r="C65" s="862"/>
      <c r="D65" s="863"/>
      <c r="E65" s="863"/>
      <c r="F65" s="864"/>
      <c r="G65" s="224"/>
      <c r="H65" s="224"/>
      <c r="I65" s="208"/>
      <c r="K65" s="209"/>
      <c r="L65" s="208"/>
      <c r="M65" s="210"/>
      <c r="N65" s="210"/>
      <c r="O65" s="208"/>
    </row>
    <row r="66" spans="1:15" s="207" customFormat="1" ht="15.75">
      <c r="A66" s="858"/>
      <c r="B66" s="859"/>
      <c r="C66" s="862"/>
      <c r="D66" s="863"/>
      <c r="E66" s="863"/>
      <c r="F66" s="864"/>
      <c r="G66" s="224"/>
      <c r="H66" s="224"/>
      <c r="I66" s="208"/>
      <c r="K66" s="209"/>
      <c r="L66" s="208"/>
      <c r="M66" s="210"/>
      <c r="N66" s="210"/>
      <c r="O66" s="208"/>
    </row>
    <row r="67" spans="1:15" s="207" customFormat="1" ht="15.75">
      <c r="A67" s="858" t="s">
        <v>203</v>
      </c>
      <c r="B67" s="859"/>
      <c r="C67" s="858" t="s">
        <v>204</v>
      </c>
      <c r="D67" s="915"/>
      <c r="E67" s="915"/>
      <c r="F67" s="859"/>
      <c r="G67" s="194"/>
      <c r="H67" s="194"/>
      <c r="I67" s="208"/>
      <c r="K67" s="209"/>
      <c r="L67" s="208"/>
      <c r="M67" s="210"/>
      <c r="N67" s="210"/>
      <c r="O67" s="208"/>
    </row>
    <row r="68" spans="1:15" s="207" customFormat="1" ht="16.5">
      <c r="A68" s="878" t="str">
        <f>'dados de entrada'!B5</f>
        <v>Ana Paula da Silva</v>
      </c>
      <c r="B68" s="880"/>
      <c r="C68" s="878" t="str">
        <f>'dados de entrada'!B6</f>
        <v>Carlos Alberto Bley</v>
      </c>
      <c r="D68" s="879"/>
      <c r="E68" s="879"/>
      <c r="F68" s="880"/>
      <c r="G68" s="225"/>
      <c r="H68" s="225"/>
      <c r="I68" s="208"/>
      <c r="K68" s="209"/>
      <c r="L68" s="208"/>
      <c r="M68" s="210"/>
      <c r="N68" s="210"/>
      <c r="O68" s="208"/>
    </row>
    <row r="69" spans="1:15" s="207" customFormat="1" ht="16.5" thickBot="1">
      <c r="A69" s="917" t="s">
        <v>548</v>
      </c>
      <c r="B69" s="918"/>
      <c r="C69" s="875" t="str">
        <f>'dados de entrada'!B17</f>
        <v>Engenheiro Civil - CREA SC 008.333-3</v>
      </c>
      <c r="D69" s="876"/>
      <c r="E69" s="876"/>
      <c r="F69" s="877"/>
      <c r="G69" s="226"/>
      <c r="H69" s="226"/>
      <c r="I69" s="208"/>
      <c r="K69" s="209"/>
      <c r="L69" s="208"/>
      <c r="M69" s="210"/>
      <c r="N69" s="210"/>
      <c r="O69" s="208"/>
    </row>
    <row r="70" spans="1:15" s="207" customFormat="1" ht="15.75">
      <c r="A70" s="214"/>
      <c r="B70" s="215"/>
      <c r="C70" s="216"/>
      <c r="D70" s="217"/>
      <c r="E70" s="218"/>
      <c r="F70" s="218"/>
      <c r="G70" s="227"/>
      <c r="H70" s="227"/>
      <c r="I70" s="208"/>
      <c r="K70" s="209"/>
      <c r="L70" s="208"/>
      <c r="M70" s="210"/>
      <c r="N70" s="210"/>
      <c r="O70" s="208"/>
    </row>
    <row r="71" spans="1:15" s="207" customFormat="1" ht="15.75">
      <c r="A71" s="214"/>
      <c r="B71" s="215"/>
      <c r="C71" s="216"/>
      <c r="D71" s="217"/>
      <c r="E71" s="218"/>
      <c r="F71" s="218"/>
      <c r="I71" s="208"/>
      <c r="K71" s="209"/>
      <c r="L71" s="208"/>
      <c r="M71" s="210"/>
      <c r="N71" s="210"/>
      <c r="O71" s="208"/>
    </row>
    <row r="72" spans="1:15" s="12" customFormat="1" ht="15.75">
      <c r="A72" s="118"/>
      <c r="B72" s="174"/>
      <c r="C72" s="175"/>
      <c r="D72" s="176"/>
      <c r="E72" s="177"/>
      <c r="F72" s="177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4"/>
      <c r="C73" s="175"/>
      <c r="D73" s="176"/>
      <c r="E73" s="177"/>
      <c r="F73" s="177"/>
      <c r="I73" s="13"/>
      <c r="K73" s="18"/>
      <c r="L73" s="13"/>
      <c r="M73" s="16"/>
      <c r="N73" s="16"/>
      <c r="O73" s="13"/>
    </row>
    <row r="74" spans="1:15" s="12" customFormat="1" ht="15.75">
      <c r="A74" s="118"/>
      <c r="B74" s="174"/>
      <c r="C74" s="175"/>
      <c r="D74" s="176"/>
      <c r="E74" s="177"/>
      <c r="F74" s="177"/>
      <c r="I74" s="13"/>
      <c r="K74" s="18"/>
      <c r="L74" s="13"/>
      <c r="M74" s="16"/>
      <c r="N74" s="16"/>
      <c r="O74" s="13"/>
    </row>
    <row r="75" spans="1:15" s="12" customFormat="1" ht="15.75">
      <c r="A75" s="118"/>
      <c r="B75" s="174"/>
      <c r="C75" s="175"/>
      <c r="D75" s="176"/>
      <c r="E75" s="177"/>
      <c r="F75" s="177"/>
      <c r="I75" s="13"/>
      <c r="K75" s="18"/>
      <c r="L75" s="13"/>
      <c r="M75" s="16"/>
      <c r="N75" s="16"/>
      <c r="O75" s="13"/>
    </row>
    <row r="76" spans="1:15" s="12" customFormat="1" ht="15.75">
      <c r="A76" s="118"/>
      <c r="B76" s="174"/>
      <c r="C76" s="175"/>
      <c r="D76" s="176"/>
      <c r="E76" s="177"/>
      <c r="F76" s="177"/>
      <c r="I76" s="13"/>
      <c r="K76" s="18"/>
      <c r="L76" s="13"/>
      <c r="M76" s="16"/>
      <c r="N76" s="16"/>
      <c r="O76" s="13"/>
    </row>
    <row r="77" spans="1:15" s="12" customFormat="1" ht="15.75">
      <c r="A77" s="118"/>
      <c r="B77" s="174"/>
      <c r="C77" s="175"/>
      <c r="D77" s="176"/>
      <c r="E77" s="177"/>
      <c r="F77" s="177"/>
      <c r="I77" s="13"/>
      <c r="K77" s="18"/>
      <c r="L77" s="13"/>
      <c r="M77" s="16"/>
      <c r="N77" s="16"/>
      <c r="O77" s="13"/>
    </row>
    <row r="78" spans="1:15" s="12" customFormat="1" ht="15.75">
      <c r="A78" s="118"/>
      <c r="B78" s="174"/>
      <c r="C78" s="175"/>
      <c r="D78" s="176"/>
      <c r="E78" s="177"/>
      <c r="F78" s="177"/>
      <c r="I78" s="13"/>
      <c r="K78" s="18"/>
      <c r="L78" s="13"/>
      <c r="M78" s="16"/>
      <c r="N78" s="16"/>
      <c r="O78" s="13"/>
    </row>
    <row r="79" spans="1:15" s="12" customFormat="1" ht="15.75">
      <c r="A79" s="118"/>
      <c r="B79" s="174"/>
      <c r="C79" s="175"/>
      <c r="D79" s="176"/>
      <c r="E79" s="177"/>
      <c r="F79" s="177"/>
      <c r="I79" s="13"/>
      <c r="K79" s="18"/>
      <c r="L79" s="13"/>
      <c r="M79" s="16"/>
      <c r="N79" s="16"/>
      <c r="O79" s="13"/>
    </row>
    <row r="80" spans="1:15" s="12" customFormat="1" ht="15.75">
      <c r="A80" s="118"/>
      <c r="B80" s="174"/>
      <c r="C80" s="175"/>
      <c r="D80" s="176"/>
      <c r="E80" s="177"/>
      <c r="F80" s="177"/>
      <c r="I80" s="13"/>
      <c r="K80" s="18"/>
      <c r="L80" s="13"/>
      <c r="M80" s="16"/>
      <c r="N80" s="16"/>
      <c r="O80" s="13"/>
    </row>
    <row r="81" spans="1:15" s="12" customFormat="1" ht="15.75">
      <c r="A81" s="118"/>
      <c r="B81" s="174"/>
      <c r="C81" s="175"/>
      <c r="D81" s="176"/>
      <c r="E81" s="177"/>
      <c r="F81" s="177"/>
      <c r="I81" s="13"/>
      <c r="K81" s="18"/>
      <c r="L81" s="13"/>
      <c r="M81" s="16"/>
      <c r="N81" s="16"/>
      <c r="O81" s="13"/>
    </row>
    <row r="82" spans="1:15" s="12" customFormat="1" ht="15.75">
      <c r="A82" s="118"/>
      <c r="B82" s="174"/>
      <c r="C82" s="175"/>
      <c r="D82" s="176"/>
      <c r="E82" s="177"/>
      <c r="F82" s="177"/>
      <c r="I82" s="13"/>
      <c r="K82" s="18"/>
      <c r="L82" s="13"/>
      <c r="M82" s="16"/>
      <c r="N82" s="16"/>
      <c r="O82" s="13"/>
    </row>
    <row r="83" spans="1:15" s="3" customFormat="1" ht="16.5" thickBot="1">
      <c r="A83" s="921"/>
      <c r="B83" s="921"/>
      <c r="C83" s="20"/>
      <c r="D83" s="63"/>
      <c r="E83" s="21"/>
      <c r="F83" s="22"/>
      <c r="K83" s="17"/>
      <c r="L83" s="7"/>
      <c r="M83" s="14"/>
      <c r="N83" s="14"/>
      <c r="O83" s="7"/>
    </row>
    <row r="84" spans="1:6" ht="12.75">
      <c r="A84" s="897" t="s">
        <v>11</v>
      </c>
      <c r="B84" s="898"/>
      <c r="C84" s="904" t="s">
        <v>12</v>
      </c>
      <c r="D84" s="905"/>
      <c r="E84" s="898"/>
      <c r="F84" s="1" t="s">
        <v>13</v>
      </c>
    </row>
    <row r="85" spans="1:15" ht="12.75">
      <c r="A85" s="899"/>
      <c r="B85" s="900"/>
      <c r="C85" s="901" t="s">
        <v>14</v>
      </c>
      <c r="D85" s="902"/>
      <c r="E85" s="903"/>
      <c r="F85" s="916">
        <f>'dados de entrada'!B3</f>
        <v>41671</v>
      </c>
      <c r="K85"/>
      <c r="L85"/>
      <c r="M85"/>
      <c r="N85"/>
      <c r="O85"/>
    </row>
    <row r="86" spans="1:15" ht="12.75">
      <c r="A86" s="899"/>
      <c r="B86" s="900"/>
      <c r="C86" s="901"/>
      <c r="D86" s="902"/>
      <c r="E86" s="903"/>
      <c r="F86" s="916"/>
      <c r="K86"/>
      <c r="L86"/>
      <c r="M86"/>
      <c r="N86"/>
      <c r="O86"/>
    </row>
    <row r="87" spans="1:15" ht="12.75">
      <c r="A87" s="899"/>
      <c r="B87" s="900"/>
      <c r="C87" s="901"/>
      <c r="D87" s="902"/>
      <c r="E87" s="903"/>
      <c r="F87" s="916"/>
      <c r="K87"/>
      <c r="L87"/>
      <c r="M87"/>
      <c r="N87"/>
      <c r="O87"/>
    </row>
    <row r="88" spans="1:15" ht="34.5" customHeight="1">
      <c r="A88" s="899"/>
      <c r="B88" s="900"/>
      <c r="C88" s="901"/>
      <c r="D88" s="902"/>
      <c r="E88" s="903"/>
      <c r="F88" s="916"/>
      <c r="K88"/>
      <c r="L88"/>
      <c r="M88"/>
      <c r="N88"/>
      <c r="O88"/>
    </row>
    <row r="89" spans="1:15" ht="12.75">
      <c r="A89" s="899"/>
      <c r="B89" s="900"/>
      <c r="C89" s="901"/>
      <c r="D89" s="902"/>
      <c r="E89" s="903"/>
      <c r="F89" s="916"/>
      <c r="K89"/>
      <c r="L89"/>
      <c r="M89"/>
      <c r="N89"/>
      <c r="O89"/>
    </row>
    <row r="90" spans="1:15" ht="13.5" thickBot="1">
      <c r="A90" s="892" t="str">
        <f>'dados de entrada'!B17</f>
        <v>Engenheiro Civil - CREA SC 008.333-3</v>
      </c>
      <c r="B90" s="893"/>
      <c r="C90" s="894"/>
      <c r="D90" s="895"/>
      <c r="E90" s="896"/>
      <c r="F90" s="4"/>
      <c r="K90"/>
      <c r="L90"/>
      <c r="M90"/>
      <c r="N90"/>
      <c r="O90"/>
    </row>
    <row r="91" spans="1:15" ht="12.75">
      <c r="A91" s="897" t="s">
        <v>15</v>
      </c>
      <c r="B91" s="898"/>
      <c r="C91" s="904" t="s">
        <v>12</v>
      </c>
      <c r="D91" s="905"/>
      <c r="E91" s="898"/>
      <c r="F91" s="5"/>
      <c r="K91"/>
      <c r="L91"/>
      <c r="M91"/>
      <c r="N91"/>
      <c r="O91"/>
    </row>
    <row r="92" spans="1:15" ht="12.75" customHeight="1">
      <c r="A92" s="172"/>
      <c r="B92" s="173"/>
      <c r="C92" s="901" t="s">
        <v>14</v>
      </c>
      <c r="D92" s="902"/>
      <c r="E92" s="903"/>
      <c r="F92" s="916">
        <f>'dados de entrada'!B3</f>
        <v>41671</v>
      </c>
      <c r="K92"/>
      <c r="L92"/>
      <c r="M92"/>
      <c r="N92"/>
      <c r="O92"/>
    </row>
    <row r="93" spans="1:15" ht="12.75" customHeight="1">
      <c r="A93" s="172"/>
      <c r="B93" s="173"/>
      <c r="C93" s="901"/>
      <c r="D93" s="902"/>
      <c r="E93" s="903"/>
      <c r="F93" s="916"/>
      <c r="K93"/>
      <c r="L93"/>
      <c r="M93"/>
      <c r="N93"/>
      <c r="O93"/>
    </row>
    <row r="94" spans="1:15" ht="12.75" customHeight="1">
      <c r="A94" s="172"/>
      <c r="B94" s="173"/>
      <c r="C94" s="901"/>
      <c r="D94" s="902"/>
      <c r="E94" s="903"/>
      <c r="F94" s="916"/>
      <c r="K94"/>
      <c r="L94"/>
      <c r="M94"/>
      <c r="N94"/>
      <c r="O94"/>
    </row>
    <row r="95" spans="1:15" ht="39" customHeight="1">
      <c r="A95" s="172"/>
      <c r="B95" s="173"/>
      <c r="C95" s="901"/>
      <c r="D95" s="902"/>
      <c r="E95" s="903"/>
      <c r="F95" s="916"/>
      <c r="K95"/>
      <c r="L95"/>
      <c r="M95"/>
      <c r="N95"/>
      <c r="O95"/>
    </row>
    <row r="96" spans="1:15" ht="12.75" customHeight="1">
      <c r="A96" s="899" t="str">
        <f>'dados de entrada'!B5</f>
        <v>Ana Paula da Silva</v>
      </c>
      <c r="B96" s="900"/>
      <c r="C96" s="901"/>
      <c r="D96" s="902"/>
      <c r="E96" s="903"/>
      <c r="F96" s="916"/>
      <c r="K96"/>
      <c r="L96"/>
      <c r="M96"/>
      <c r="N96"/>
      <c r="O96"/>
    </row>
    <row r="97" spans="1:15" ht="13.5" thickBot="1">
      <c r="A97" s="892" t="s">
        <v>16</v>
      </c>
      <c r="B97" s="893"/>
      <c r="C97" s="894"/>
      <c r="D97" s="895"/>
      <c r="E97" s="896"/>
      <c r="F97" s="2"/>
      <c r="K97"/>
      <c r="L97"/>
      <c r="M97"/>
      <c r="N97"/>
      <c r="O97"/>
    </row>
  </sheetData>
  <sheetProtection/>
  <mergeCells count="95">
    <mergeCell ref="E18:F18"/>
    <mergeCell ref="E16:F16"/>
    <mergeCell ref="E40:F40"/>
    <mergeCell ref="A83:B83"/>
    <mergeCell ref="A62:B62"/>
    <mergeCell ref="A61:B61"/>
    <mergeCell ref="C64:F64"/>
    <mergeCell ref="C63:F63"/>
    <mergeCell ref="E38:F38"/>
    <mergeCell ref="A60:B60"/>
    <mergeCell ref="E41:F41"/>
    <mergeCell ref="A85:B89"/>
    <mergeCell ref="A64:B64"/>
    <mergeCell ref="C84:E84"/>
    <mergeCell ref="F85:F89"/>
    <mergeCell ref="C85:E89"/>
    <mergeCell ref="A68:B68"/>
    <mergeCell ref="A84:B84"/>
    <mergeCell ref="A67:B67"/>
    <mergeCell ref="C67:F67"/>
    <mergeCell ref="F92:F96"/>
    <mergeCell ref="A66:B66"/>
    <mergeCell ref="E42:F42"/>
    <mergeCell ref="E44:F44"/>
    <mergeCell ref="C66:F66"/>
    <mergeCell ref="E51:F51"/>
    <mergeCell ref="A69:B69"/>
    <mergeCell ref="E48:F48"/>
    <mergeCell ref="E49:F49"/>
    <mergeCell ref="K9:O9"/>
    <mergeCell ref="E33:F33"/>
    <mergeCell ref="E9:F9"/>
    <mergeCell ref="E10:F10"/>
    <mergeCell ref="E12:F12"/>
    <mergeCell ref="E37:F37"/>
    <mergeCell ref="E43:F43"/>
    <mergeCell ref="E20:F20"/>
    <mergeCell ref="E17:F17"/>
    <mergeCell ref="E35:F35"/>
    <mergeCell ref="E36:F36"/>
    <mergeCell ref="E14:F14"/>
    <mergeCell ref="C65:F65"/>
    <mergeCell ref="E15:F15"/>
    <mergeCell ref="E34:F34"/>
    <mergeCell ref="E47:F47"/>
    <mergeCell ref="E55:F55"/>
    <mergeCell ref="E52:F52"/>
    <mergeCell ref="A97:B97"/>
    <mergeCell ref="C97:E97"/>
    <mergeCell ref="A90:B90"/>
    <mergeCell ref="C90:E90"/>
    <mergeCell ref="A91:B91"/>
    <mergeCell ref="A96:B96"/>
    <mergeCell ref="C92:E96"/>
    <mergeCell ref="C91:E91"/>
    <mergeCell ref="A1:F1"/>
    <mergeCell ref="A3:E3"/>
    <mergeCell ref="E31:F31"/>
    <mergeCell ref="E13:F13"/>
    <mergeCell ref="E19:F19"/>
    <mergeCell ref="E54:F54"/>
    <mergeCell ref="E39:F39"/>
    <mergeCell ref="E50:F50"/>
    <mergeCell ref="E46:F46"/>
    <mergeCell ref="E11:F11"/>
    <mergeCell ref="E6:F6"/>
    <mergeCell ref="E5:F5"/>
    <mergeCell ref="A7:D7"/>
    <mergeCell ref="B5:D5"/>
    <mergeCell ref="E21:F21"/>
    <mergeCell ref="C69:F69"/>
    <mergeCell ref="C68:F68"/>
    <mergeCell ref="C60:F60"/>
    <mergeCell ref="E32:F32"/>
    <mergeCell ref="C8:F8"/>
    <mergeCell ref="A2:F2"/>
    <mergeCell ref="A4:E4"/>
    <mergeCell ref="A65:B65"/>
    <mergeCell ref="A63:B63"/>
    <mergeCell ref="E58:F58"/>
    <mergeCell ref="E30:F30"/>
    <mergeCell ref="C61:F61"/>
    <mergeCell ref="C62:F62"/>
    <mergeCell ref="E45:F45"/>
    <mergeCell ref="E53:F53"/>
    <mergeCell ref="E57:F57"/>
    <mergeCell ref="E29:F29"/>
    <mergeCell ref="E27:F27"/>
    <mergeCell ref="A22:A25"/>
    <mergeCell ref="B22:B25"/>
    <mergeCell ref="C22:C25"/>
    <mergeCell ref="D22:D25"/>
    <mergeCell ref="E26:F26"/>
    <mergeCell ref="E28:F28"/>
    <mergeCell ref="E56:F56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view="pageBreakPreview" zoomScale="90" zoomScaleSheetLayoutView="90" zoomScalePageLayoutView="0" workbookViewId="0" topLeftCell="A19">
      <selection activeCell="B58" sqref="B58:C58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88.710937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28125" style="605" bestFit="1" customWidth="1"/>
    <col min="12" max="12" width="12.28125" style="607" bestFit="1" customWidth="1"/>
    <col min="15" max="15" width="11.00390625" style="0" bestFit="1" customWidth="1"/>
  </cols>
  <sheetData>
    <row r="1" spans="1:9" ht="36" customHeight="1">
      <c r="A1" s="961"/>
      <c r="B1" s="962"/>
      <c r="C1" s="962"/>
      <c r="D1" s="962"/>
      <c r="E1" s="962"/>
      <c r="F1" s="962"/>
      <c r="G1" s="963"/>
      <c r="H1" s="434"/>
      <c r="I1" s="964" t="s">
        <v>463</v>
      </c>
    </row>
    <row r="2" spans="1:9" ht="36" customHeight="1">
      <c r="A2" s="966" t="s">
        <v>464</v>
      </c>
      <c r="B2" s="967"/>
      <c r="C2" s="967"/>
      <c r="D2" s="967"/>
      <c r="E2" s="967"/>
      <c r="F2" s="967"/>
      <c r="G2" s="968"/>
      <c r="H2" s="435"/>
      <c r="I2" s="965"/>
    </row>
    <row r="3" spans="1:9" ht="13.5" customHeight="1">
      <c r="A3" s="977" t="s">
        <v>465</v>
      </c>
      <c r="B3" s="972" t="str">
        <f>'dados de entrada'!B4</f>
        <v>BOMBINHAS</v>
      </c>
      <c r="C3" s="972"/>
      <c r="D3" s="972"/>
      <c r="E3" s="972"/>
      <c r="F3" s="972"/>
      <c r="G3" s="973"/>
      <c r="H3" s="436"/>
      <c r="I3" s="437" t="s">
        <v>466</v>
      </c>
    </row>
    <row r="4" spans="1:9" ht="12.75" customHeight="1">
      <c r="A4" s="978"/>
      <c r="B4" s="975"/>
      <c r="C4" s="975"/>
      <c r="D4" s="975"/>
      <c r="E4" s="975"/>
      <c r="F4" s="975"/>
      <c r="G4" s="976"/>
      <c r="H4" s="438"/>
      <c r="I4" s="439"/>
    </row>
    <row r="5" spans="1:9" ht="14.25" customHeight="1">
      <c r="A5" s="969" t="s">
        <v>17</v>
      </c>
      <c r="B5" s="971" t="str">
        <f>'dados de entrada'!B8</f>
        <v>PAVIMENTAÇÃO COM LAJOTAS SEXTAVADAS E DRENAGEM PLUVIAL </v>
      </c>
      <c r="C5" s="972"/>
      <c r="D5" s="972"/>
      <c r="E5" s="972"/>
      <c r="F5" s="972"/>
      <c r="G5" s="973"/>
      <c r="H5" s="440"/>
      <c r="I5" s="437" t="s">
        <v>467</v>
      </c>
    </row>
    <row r="6" spans="1:9" ht="18">
      <c r="A6" s="970"/>
      <c r="B6" s="974"/>
      <c r="C6" s="975"/>
      <c r="D6" s="975"/>
      <c r="E6" s="975"/>
      <c r="F6" s="975"/>
      <c r="G6" s="976"/>
      <c r="H6" s="441"/>
      <c r="I6" s="528">
        <f>'dados de entrada'!B3</f>
        <v>41671</v>
      </c>
    </row>
    <row r="7" spans="1:9" ht="15.75" customHeight="1">
      <c r="A7" s="442" t="s">
        <v>200</v>
      </c>
      <c r="B7" s="958" t="str">
        <f>'dados de entrada'!C19</f>
        <v>RUA CAJÚ - BAIRRO SERTÃOZINHO</v>
      </c>
      <c r="C7" s="959"/>
      <c r="D7" s="959"/>
      <c r="E7" s="959"/>
      <c r="F7" s="959"/>
      <c r="G7" s="959"/>
      <c r="H7" s="959"/>
      <c r="I7" s="960"/>
    </row>
    <row r="8" spans="1:9" ht="15.75">
      <c r="A8" s="934" t="s">
        <v>468</v>
      </c>
      <c r="B8" s="935"/>
      <c r="C8" s="936" t="str">
        <f>'dados de entrada'!B9</f>
        <v>SINAPI - 01/01/2014 - COM DESONERAÇÃO</v>
      </c>
      <c r="D8" s="936"/>
      <c r="E8" s="936"/>
      <c r="F8" s="936"/>
      <c r="G8" s="936"/>
      <c r="H8" s="936"/>
      <c r="I8" s="937"/>
    </row>
    <row r="9" spans="1:9" ht="10.5" customHeight="1" thickBot="1">
      <c r="A9" s="443"/>
      <c r="B9" s="444"/>
      <c r="C9" s="444"/>
      <c r="D9" s="444"/>
      <c r="E9" s="444"/>
      <c r="F9" s="444"/>
      <c r="G9" s="444"/>
      <c r="H9" s="444"/>
      <c r="I9" s="445"/>
    </row>
    <row r="10" spans="1:9" ht="21" customHeight="1">
      <c r="A10" s="956" t="s">
        <v>0</v>
      </c>
      <c r="B10" s="938" t="s">
        <v>469</v>
      </c>
      <c r="C10" s="938" t="s">
        <v>1</v>
      </c>
      <c r="D10" s="938" t="s">
        <v>32</v>
      </c>
      <c r="E10" s="938" t="s">
        <v>148</v>
      </c>
      <c r="F10" s="938" t="s">
        <v>470</v>
      </c>
      <c r="G10" s="938" t="s">
        <v>471</v>
      </c>
      <c r="H10" s="938" t="s">
        <v>472</v>
      </c>
      <c r="I10" s="940" t="s">
        <v>473</v>
      </c>
    </row>
    <row r="11" spans="1:9" ht="20.25" customHeight="1" thickBot="1">
      <c r="A11" s="957"/>
      <c r="B11" s="939"/>
      <c r="C11" s="939"/>
      <c r="D11" s="939"/>
      <c r="E11" s="939"/>
      <c r="F11" s="939"/>
      <c r="G11" s="939"/>
      <c r="H11" s="939"/>
      <c r="I11" s="941"/>
    </row>
    <row r="12" spans="1:9" ht="12.75">
      <c r="A12" s="537" t="str">
        <f>MEMORIAL!A10</f>
        <v>1.0</v>
      </c>
      <c r="B12" s="538"/>
      <c r="C12" s="539" t="str">
        <f>MEMORIAL!B10</f>
        <v>SERVIÇOS INICIAIS</v>
      </c>
      <c r="D12" s="540"/>
      <c r="E12" s="541"/>
      <c r="F12" s="541"/>
      <c r="G12" s="542"/>
      <c r="H12" s="543"/>
      <c r="I12" s="552">
        <f>SUM(I13)</f>
        <v>1372.95</v>
      </c>
    </row>
    <row r="13" spans="1:10" ht="12.75">
      <c r="A13" s="446" t="str">
        <f>MEMORIAL!A11</f>
        <v>1.1</v>
      </c>
      <c r="B13" s="448" t="s">
        <v>152</v>
      </c>
      <c r="C13" s="447" t="str">
        <f>MEMORIAL!B11</f>
        <v>Placa de obra</v>
      </c>
      <c r="D13" s="453" t="str">
        <f>MEMORIAL!C11</f>
        <v>m2</v>
      </c>
      <c r="E13" s="449">
        <f>MEMORIAL!D11</f>
        <v>3</v>
      </c>
      <c r="F13" s="449">
        <v>366.12</v>
      </c>
      <c r="G13" s="450">
        <f>'dados de entrada'!B10</f>
        <v>0.25</v>
      </c>
      <c r="H13" s="451">
        <f>ROUND(F13*(1+G13),2)</f>
        <v>457.65</v>
      </c>
      <c r="I13" s="452">
        <f>ROUND(H13*E13,2)</f>
        <v>1372.95</v>
      </c>
      <c r="J13" t="s">
        <v>162</v>
      </c>
    </row>
    <row r="14" spans="1:9" ht="13.5" thickBot="1">
      <c r="A14" s="553"/>
      <c r="B14" s="554"/>
      <c r="C14" s="555"/>
      <c r="D14" s="556"/>
      <c r="E14" s="557"/>
      <c r="F14" s="557"/>
      <c r="G14" s="558"/>
      <c r="H14" s="559"/>
      <c r="I14" s="560"/>
    </row>
    <row r="15" spans="1:9" ht="12.75">
      <c r="A15" s="537" t="str">
        <f>MEMORIAL!A13</f>
        <v>2.0</v>
      </c>
      <c r="B15" s="538"/>
      <c r="C15" s="539" t="str">
        <f>MEMORIAL!B13</f>
        <v>SERVIÇOS EM DRENAGEM PLUVIAL</v>
      </c>
      <c r="D15" s="562"/>
      <c r="E15" s="541"/>
      <c r="F15" s="541"/>
      <c r="G15" s="542"/>
      <c r="H15" s="563"/>
      <c r="I15" s="552">
        <f>SUM(I16:I30)</f>
        <v>62488.21</v>
      </c>
    </row>
    <row r="16" spans="1:10" ht="12.75">
      <c r="A16" s="446" t="str">
        <f>MEMORIAL!A14</f>
        <v>2.1</v>
      </c>
      <c r="B16" s="448">
        <v>73599</v>
      </c>
      <c r="C16" s="447" t="str">
        <f>MEMORIAL!B14</f>
        <v>Escavação mec. de valas em qualquer tipo de solo, 0,00 a 4,00 m</v>
      </c>
      <c r="D16" s="453" t="str">
        <f>MEMORIAL!C14</f>
        <v>m3</v>
      </c>
      <c r="E16" s="449">
        <f>MEMORIAL!D14</f>
        <v>325</v>
      </c>
      <c r="F16" s="449">
        <v>7.67</v>
      </c>
      <c r="G16" s="450">
        <f>'dados de entrada'!B$10</f>
        <v>0.25</v>
      </c>
      <c r="H16" s="561">
        <f>ROUND(F16*(1+G16),2)</f>
        <v>9.59</v>
      </c>
      <c r="I16" s="452">
        <f>ROUND(H16*E16,2)</f>
        <v>3116.75</v>
      </c>
      <c r="J16" t="s">
        <v>162</v>
      </c>
    </row>
    <row r="17" spans="1:10" ht="12.75">
      <c r="A17" s="446" t="str">
        <f>MEMORIAL!A15</f>
        <v>2.2</v>
      </c>
      <c r="B17" s="448" t="s">
        <v>197</v>
      </c>
      <c r="C17" s="447" t="str">
        <f>MEMORIAL!B15</f>
        <v>Lastro de brita 6 cm x 60 cm</v>
      </c>
      <c r="D17" s="453" t="str">
        <f>MEMORIAL!C15</f>
        <v>m3</v>
      </c>
      <c r="E17" s="449">
        <f>MEMORIAL!D15</f>
        <v>10</v>
      </c>
      <c r="F17" s="449">
        <v>97.19</v>
      </c>
      <c r="G17" s="450">
        <f>'dados de entrada'!B$10</f>
        <v>0.25</v>
      </c>
      <c r="H17" s="561">
        <f>ROUND(F17*(1+G17),2)</f>
        <v>121.49</v>
      </c>
      <c r="I17" s="452">
        <f>ROUND(H17*E17,2)</f>
        <v>1214.9</v>
      </c>
      <c r="J17" t="s">
        <v>162</v>
      </c>
    </row>
    <row r="18" spans="1:10" ht="12.75">
      <c r="A18" s="446" t="str">
        <f>MEMORIAL!A16</f>
        <v>2.3</v>
      </c>
      <c r="B18" s="448">
        <v>73730</v>
      </c>
      <c r="C18" s="447" t="str">
        <f>MEMORIAL!B16</f>
        <v>Assentamento de tubos de concreto diametro de 30 cm., armado ou simples</v>
      </c>
      <c r="D18" s="453" t="str">
        <f>MEMORIAL!C16</f>
        <v>m</v>
      </c>
      <c r="E18" s="449">
        <f>MEMORIAL!D16</f>
        <v>62</v>
      </c>
      <c r="F18" s="449">
        <v>10.5</v>
      </c>
      <c r="G18" s="450">
        <f>'dados de entrada'!B$10</f>
        <v>0.25</v>
      </c>
      <c r="H18" s="561">
        <f>ROUND(F18*(1+G18),2)</f>
        <v>13.13</v>
      </c>
      <c r="I18" s="452">
        <f>ROUND(H18*E18,2)</f>
        <v>814.06</v>
      </c>
      <c r="J18" t="s">
        <v>162</v>
      </c>
    </row>
    <row r="19" spans="1:11" ht="12.75" customHeight="1">
      <c r="A19" s="446" t="str">
        <f>MEMORIAL!A17</f>
        <v>2.4</v>
      </c>
      <c r="B19" s="448">
        <v>7790</v>
      </c>
      <c r="C19" s="447" t="str">
        <f>MEMORIAL!B17</f>
        <v>Tubo de concreto simples classe - PS2 - NBR-8890 de Ø 30 cm, para águas pluviais</v>
      </c>
      <c r="D19" s="453" t="str">
        <f>MEMORIAL!C17</f>
        <v>m</v>
      </c>
      <c r="E19" s="449">
        <f>MEMORIAL!D17</f>
        <v>62</v>
      </c>
      <c r="F19" s="449">
        <v>19.6</v>
      </c>
      <c r="G19" s="450">
        <f>'dados de entrada'!B$10</f>
        <v>0.25</v>
      </c>
      <c r="H19" s="561">
        <f aca="true" t="shared" si="0" ref="H19:H30">ROUND(F19*(1+G19),2)</f>
        <v>24.5</v>
      </c>
      <c r="I19" s="452">
        <f aca="true" t="shared" si="1" ref="I19:I30">ROUND(H19*E19,2)</f>
        <v>1519</v>
      </c>
      <c r="J19" t="s">
        <v>162</v>
      </c>
      <c r="K19" s="607"/>
    </row>
    <row r="20" spans="1:11" ht="12.75" customHeight="1">
      <c r="A20" s="446" t="str">
        <f>MEMORIAL!A18</f>
        <v>2.5</v>
      </c>
      <c r="B20" s="448">
        <v>73724</v>
      </c>
      <c r="C20" s="447" t="str">
        <f>MEMORIAL!B18</f>
        <v>Assentamento de tubos de concreto diametro de 40 cm., armado ou simples</v>
      </c>
      <c r="D20" s="453" t="str">
        <f>MEMORIAL!C18</f>
        <v>m</v>
      </c>
      <c r="E20" s="449">
        <f>MEMORIAL!D18</f>
        <v>160</v>
      </c>
      <c r="F20" s="449">
        <v>14.95</v>
      </c>
      <c r="G20" s="450">
        <f>'dados de entrada'!B$10</f>
        <v>0.25</v>
      </c>
      <c r="H20" s="561">
        <f>ROUND(F20*(1+G20),2)</f>
        <v>18.69</v>
      </c>
      <c r="I20" s="452">
        <f>ROUND(H20*E20,2)</f>
        <v>2990.4</v>
      </c>
      <c r="J20" t="s">
        <v>162</v>
      </c>
      <c r="K20" s="607"/>
    </row>
    <row r="21" spans="1:11" ht="12.75">
      <c r="A21" s="446" t="str">
        <f>MEMORIAL!A19</f>
        <v>2.6</v>
      </c>
      <c r="B21" s="448">
        <v>7761</v>
      </c>
      <c r="C21" s="447" t="str">
        <f>MEMORIAL!B19</f>
        <v>Tubo de concreto armado classe - PA2 PB NBR-8890/2007 de Ø 40 cm, para águas pluviais</v>
      </c>
      <c r="D21" s="453" t="str">
        <f>MEMORIAL!C19</f>
        <v>m</v>
      </c>
      <c r="E21" s="449">
        <f>MEMORIAL!D19</f>
        <v>160</v>
      </c>
      <c r="F21" s="449">
        <v>57.17</v>
      </c>
      <c r="G21" s="450">
        <f>'dados de entrada'!B$10</f>
        <v>0.25</v>
      </c>
      <c r="H21" s="561">
        <f t="shared" si="0"/>
        <v>71.46</v>
      </c>
      <c r="I21" s="452">
        <f t="shared" si="1"/>
        <v>11433.6</v>
      </c>
      <c r="J21" t="s">
        <v>162</v>
      </c>
      <c r="K21" s="607"/>
    </row>
    <row r="22" spans="1:11" ht="12.75">
      <c r="A22" s="446" t="str">
        <f>MEMORIAL!A20</f>
        <v>2.7</v>
      </c>
      <c r="B22" s="448">
        <v>73722</v>
      </c>
      <c r="C22" s="447" t="str">
        <f>MEMORIAL!B20</f>
        <v>Assentamento de tubos de concreto diametro de 60 cm., armado ou simples</v>
      </c>
      <c r="D22" s="453" t="str">
        <f>MEMORIAL!C20</f>
        <v>m</v>
      </c>
      <c r="E22" s="449">
        <f>MEMORIAL!D20</f>
        <v>111</v>
      </c>
      <c r="F22" s="449">
        <v>29.09</v>
      </c>
      <c r="G22" s="450">
        <f>'dados de entrada'!B$10</f>
        <v>0.25</v>
      </c>
      <c r="H22" s="561">
        <f>ROUND(F22*(1+G22),2)</f>
        <v>36.36</v>
      </c>
      <c r="I22" s="452">
        <f>ROUND(H22*E22,2)</f>
        <v>4035.96</v>
      </c>
      <c r="J22" t="s">
        <v>162</v>
      </c>
      <c r="K22" s="607"/>
    </row>
    <row r="23" spans="1:11" ht="12.75">
      <c r="A23" s="446" t="str">
        <f>MEMORIAL!A21</f>
        <v>2.8</v>
      </c>
      <c r="B23" s="448">
        <v>7762</v>
      </c>
      <c r="C23" s="447" t="str">
        <f>MEMORIAL!B21</f>
        <v>Tubo de concreto armado classe - PA2 PB NBR-8890/2007 de Ø 60 cm, para águas pluviais</v>
      </c>
      <c r="D23" s="453" t="str">
        <f>MEMORIAL!C21</f>
        <v>m</v>
      </c>
      <c r="E23" s="449">
        <f>MEMORIAL!D21</f>
        <v>111</v>
      </c>
      <c r="F23" s="449">
        <v>98.85</v>
      </c>
      <c r="G23" s="450">
        <f>'dados de entrada'!B$10</f>
        <v>0.25</v>
      </c>
      <c r="H23" s="561">
        <f t="shared" si="0"/>
        <v>123.56</v>
      </c>
      <c r="I23" s="452">
        <f t="shared" si="1"/>
        <v>13715.16</v>
      </c>
      <c r="J23" t="s">
        <v>162</v>
      </c>
      <c r="K23" s="607"/>
    </row>
    <row r="24" spans="1:10" ht="12.75">
      <c r="A24" s="446" t="str">
        <f>MEMORIAL!A22</f>
        <v>2.9</v>
      </c>
      <c r="B24" s="448" t="s">
        <v>551</v>
      </c>
      <c r="C24" s="447" t="str">
        <f>MEMORIAL!B22</f>
        <v>Fornecimento e colocação de manta geotextil 200 g/m2, largura = 30 cm</v>
      </c>
      <c r="D24" s="453" t="str">
        <f>MEMORIAL!C22</f>
        <v>m2</v>
      </c>
      <c r="E24" s="449">
        <f>MEMORIAL!D22</f>
        <v>212</v>
      </c>
      <c r="F24" s="449">
        <v>5.77</v>
      </c>
      <c r="G24" s="450">
        <f>'dados de entrada'!B$10</f>
        <v>0.25</v>
      </c>
      <c r="H24" s="561">
        <f t="shared" si="0"/>
        <v>7.21</v>
      </c>
      <c r="I24" s="452">
        <f t="shared" si="1"/>
        <v>1528.52</v>
      </c>
      <c r="J24" t="s">
        <v>162</v>
      </c>
    </row>
    <row r="25" spans="1:10" ht="12.75">
      <c r="A25" s="446" t="str">
        <f>MEMORIAL!A26</f>
        <v>2.10</v>
      </c>
      <c r="B25" s="448">
        <v>72920</v>
      </c>
      <c r="C25" s="447" t="str">
        <f>MEMORIAL!B26</f>
        <v>Reaterro de vala com material granular reaproveitado adensado e vibrado</v>
      </c>
      <c r="D25" s="453" t="str">
        <f>MEMORIAL!C26</f>
        <v>m3</v>
      </c>
      <c r="E25" s="449">
        <f>MEMORIAL!D26</f>
        <v>233</v>
      </c>
      <c r="F25" s="449">
        <v>12.82</v>
      </c>
      <c r="G25" s="450">
        <f>'dados de entrada'!B$10</f>
        <v>0.25</v>
      </c>
      <c r="H25" s="561">
        <f t="shared" si="0"/>
        <v>16.03</v>
      </c>
      <c r="I25" s="452">
        <f t="shared" si="1"/>
        <v>3734.99</v>
      </c>
      <c r="J25" t="s">
        <v>162</v>
      </c>
    </row>
    <row r="26" spans="1:10" ht="12.75">
      <c r="A26" s="446" t="str">
        <f>MEMORIAL!A27</f>
        <v>2.11</v>
      </c>
      <c r="B26" s="448">
        <v>72208</v>
      </c>
      <c r="C26" s="447" t="str">
        <f>MEMORIAL!B27</f>
        <v>Carga mecanizada e remoção de excedentes com transporte até 1 km</v>
      </c>
      <c r="D26" s="453" t="str">
        <f>MEMORIAL!C27</f>
        <v>m3</v>
      </c>
      <c r="E26" s="449">
        <f>MEMORIAL!D27</f>
        <v>92</v>
      </c>
      <c r="F26" s="449">
        <v>5.91</v>
      </c>
      <c r="G26" s="450">
        <f>'dados de entrada'!B$10</f>
        <v>0.25</v>
      </c>
      <c r="H26" s="561">
        <f t="shared" si="0"/>
        <v>7.39</v>
      </c>
      <c r="I26" s="452">
        <f t="shared" si="1"/>
        <v>679.88</v>
      </c>
      <c r="J26" t="s">
        <v>162</v>
      </c>
    </row>
    <row r="27" spans="1:10" ht="12.75" customHeight="1">
      <c r="A27" s="446" t="str">
        <f>MEMORIAL!A28</f>
        <v>2.12</v>
      </c>
      <c r="B27" s="675" t="s">
        <v>552</v>
      </c>
      <c r="C27" s="676" t="str">
        <f>MEMORIAL!B28</f>
        <v>Poço de visita Ø 40/60 cm - simples</v>
      </c>
      <c r="D27" s="677" t="str">
        <f>MEMORIAL!C28</f>
        <v>und</v>
      </c>
      <c r="E27" s="449">
        <f>MEMORIAL!D28</f>
        <v>4</v>
      </c>
      <c r="F27" s="678">
        <f>'PV Ø40 e Ø 60'!F43</f>
        <v>865.8163099999999</v>
      </c>
      <c r="G27" s="679">
        <f>'dados de entrada'!B$10</f>
        <v>0.25</v>
      </c>
      <c r="H27" s="680">
        <f t="shared" si="0"/>
        <v>1082.27</v>
      </c>
      <c r="I27" s="681">
        <f t="shared" si="1"/>
        <v>4329.08</v>
      </c>
      <c r="J27" t="s">
        <v>162</v>
      </c>
    </row>
    <row r="28" spans="1:10" ht="12.75" customHeight="1">
      <c r="A28" s="446" t="str">
        <f>MEMORIAL!A29</f>
        <v>2.13</v>
      </c>
      <c r="B28" s="675" t="s">
        <v>552</v>
      </c>
      <c r="C28" s="676" t="str">
        <f>MEMORIAL!B29</f>
        <v>Caixa de ligação Ø 40/60 cm - simples</v>
      </c>
      <c r="D28" s="677" t="str">
        <f>MEMORIAL!C29</f>
        <v>und</v>
      </c>
      <c r="E28" s="449">
        <f>MEMORIAL!D29</f>
        <v>3</v>
      </c>
      <c r="F28" s="678">
        <f>'CL Ø40 e Ø 60'!F43</f>
        <v>729.64491</v>
      </c>
      <c r="G28" s="679">
        <f>'dados de entrada'!B$10</f>
        <v>0.25</v>
      </c>
      <c r="H28" s="680">
        <f t="shared" si="0"/>
        <v>912.06</v>
      </c>
      <c r="I28" s="681">
        <f t="shared" si="1"/>
        <v>2736.18</v>
      </c>
      <c r="J28" t="s">
        <v>162</v>
      </c>
    </row>
    <row r="29" spans="1:10" ht="12.75">
      <c r="A29" s="446" t="str">
        <f>MEMORIAL!A30</f>
        <v>2.14</v>
      </c>
      <c r="B29" s="448">
        <v>83659</v>
      </c>
      <c r="C29" s="447" t="str">
        <f>MEMORIAL!B30</f>
        <v>Boca de lobo</v>
      </c>
      <c r="D29" s="453" t="str">
        <f>MEMORIAL!C30</f>
        <v>und</v>
      </c>
      <c r="E29" s="449">
        <f>MEMORIAL!D30</f>
        <v>14</v>
      </c>
      <c r="F29" s="449">
        <v>572.14</v>
      </c>
      <c r="G29" s="450">
        <f>'dados de entrada'!B$10</f>
        <v>0.25</v>
      </c>
      <c r="H29" s="561">
        <f t="shared" si="0"/>
        <v>715.18</v>
      </c>
      <c r="I29" s="452">
        <f t="shared" si="1"/>
        <v>10012.52</v>
      </c>
      <c r="J29" t="s">
        <v>162</v>
      </c>
    </row>
    <row r="30" spans="1:10" ht="12.75">
      <c r="A30" s="446" t="str">
        <f>MEMORIAL!A31</f>
        <v>2.15</v>
      </c>
      <c r="B30" s="448" t="s">
        <v>266</v>
      </c>
      <c r="C30" s="447" t="str">
        <f>MEMORIAL!B31</f>
        <v>Boca de bueiro Ø 60 cm - simples</v>
      </c>
      <c r="D30" s="453" t="str">
        <f>MEMORIAL!C31</f>
        <v>und</v>
      </c>
      <c r="E30" s="449">
        <f>MEMORIAL!D31</f>
        <v>1</v>
      </c>
      <c r="F30" s="557">
        <v>501.77</v>
      </c>
      <c r="G30" s="450">
        <f>'dados de entrada'!B$10</f>
        <v>0.25</v>
      </c>
      <c r="H30" s="561">
        <f t="shared" si="0"/>
        <v>627.21</v>
      </c>
      <c r="I30" s="452">
        <f t="shared" si="1"/>
        <v>627.21</v>
      </c>
      <c r="J30" t="s">
        <v>162</v>
      </c>
    </row>
    <row r="31" spans="1:9" ht="13.5" thickBot="1">
      <c r="A31" s="553"/>
      <c r="B31" s="554"/>
      <c r="C31" s="555"/>
      <c r="D31" s="556"/>
      <c r="E31" s="557"/>
      <c r="F31" s="557"/>
      <c r="G31" s="558"/>
      <c r="H31" s="575"/>
      <c r="I31" s="560"/>
    </row>
    <row r="32" spans="1:9" ht="12.75">
      <c r="A32" s="537" t="str">
        <f>MEMORIAL!A33</f>
        <v>3.0</v>
      </c>
      <c r="B32" s="538"/>
      <c r="C32" s="539" t="str">
        <f>MEMORIAL!B33</f>
        <v>PAVIMENTAÇÃO COM LAJOTAS SEXTAVADAS</v>
      </c>
      <c r="D32" s="562"/>
      <c r="E32" s="541"/>
      <c r="F32" s="541"/>
      <c r="G32" s="542"/>
      <c r="H32" s="563"/>
      <c r="I32" s="552">
        <f>SUM(I33:I35)</f>
        <v>152224.38</v>
      </c>
    </row>
    <row r="33" spans="1:10" ht="12.75">
      <c r="A33" s="446" t="str">
        <f>MEMORIAL!A34</f>
        <v>3.1</v>
      </c>
      <c r="B33" s="448" t="s">
        <v>555</v>
      </c>
      <c r="C33" s="447" t="str">
        <f>MEMORIAL!B34</f>
        <v>Regularização e compactação de até 20 cm</v>
      </c>
      <c r="D33" s="453" t="str">
        <f>MEMORIAL!C34</f>
        <v>m2</v>
      </c>
      <c r="E33" s="449">
        <f>MEMORIAL!D34</f>
        <v>2235.35</v>
      </c>
      <c r="F33" s="449">
        <v>1.38</v>
      </c>
      <c r="G33" s="450">
        <f>'dados de entrada'!B$10</f>
        <v>0.25</v>
      </c>
      <c r="H33" s="561">
        <f>ROUND(F33*(1+G33),2)</f>
        <v>1.73</v>
      </c>
      <c r="I33" s="452">
        <f>ROUND(H33*E33,2)</f>
        <v>3867.16</v>
      </c>
      <c r="J33" t="s">
        <v>162</v>
      </c>
    </row>
    <row r="34" spans="1:10" ht="12.75">
      <c r="A34" s="446" t="str">
        <f>MEMORIAL!A35</f>
        <v>3.2</v>
      </c>
      <c r="B34" s="448" t="s">
        <v>157</v>
      </c>
      <c r="C34" s="447" t="str">
        <f>MEMORIAL!B35</f>
        <v>Colocação de meio-fio externo (12x15x30x80) - incluindo rejunte e reaterro - fck=25Mpa</v>
      </c>
      <c r="D34" s="453" t="str">
        <f>MEMORIAL!C35</f>
        <v>m</v>
      </c>
      <c r="E34" s="449">
        <f>MEMORIAL!D35</f>
        <v>563</v>
      </c>
      <c r="F34" s="449">
        <v>29.5</v>
      </c>
      <c r="G34" s="450">
        <f>'dados de entrada'!B$10</f>
        <v>0.25</v>
      </c>
      <c r="H34" s="561">
        <f>ROUND(F34*(1+G34),2)</f>
        <v>36.88</v>
      </c>
      <c r="I34" s="452">
        <f>ROUND(H34*E34,2)</f>
        <v>20763.44</v>
      </c>
      <c r="J34" t="s">
        <v>162</v>
      </c>
    </row>
    <row r="35" spans="1:11" ht="12.75">
      <c r="A35" s="446" t="str">
        <f>MEMORIAL!A36</f>
        <v>3.3</v>
      </c>
      <c r="B35" s="448" t="s">
        <v>307</v>
      </c>
      <c r="C35" s="447" t="str">
        <f>MEMORIAL!B36</f>
        <v>Pavimentação com lajotas sextavadas - (30 cm x 30 cm x 8 cm) - fck=35 </v>
      </c>
      <c r="D35" s="453" t="str">
        <f>MEMORIAL!C36</f>
        <v>m2</v>
      </c>
      <c r="E35" s="449">
        <f>MEMORIAL!D36</f>
        <v>2235.35</v>
      </c>
      <c r="F35" s="449">
        <v>45.66</v>
      </c>
      <c r="G35" s="450">
        <f>'dados de entrada'!B$10</f>
        <v>0.25</v>
      </c>
      <c r="H35" s="561">
        <f>ROUND(F35*(1+G35),2)</f>
        <v>57.08</v>
      </c>
      <c r="I35" s="452">
        <f>ROUND(H35*E35,2)</f>
        <v>127593.78</v>
      </c>
      <c r="J35" t="s">
        <v>162</v>
      </c>
      <c r="K35" s="607"/>
    </row>
    <row r="36" spans="1:9" ht="13.5" thickBot="1">
      <c r="A36" s="544"/>
      <c r="B36" s="545"/>
      <c r="C36" s="546"/>
      <c r="D36" s="547"/>
      <c r="E36" s="548"/>
      <c r="F36" s="548"/>
      <c r="G36" s="549"/>
      <c r="H36" s="564"/>
      <c r="I36" s="551"/>
    </row>
    <row r="37" spans="1:9" ht="12.75">
      <c r="A37" s="537" t="str">
        <f>MEMORIAL!A38</f>
        <v>4.0</v>
      </c>
      <c r="B37" s="538"/>
      <c r="C37" s="539" t="str">
        <f>MEMORIAL!B38</f>
        <v>PAVIMENTAÇÃO PASSEIO</v>
      </c>
      <c r="D37" s="562"/>
      <c r="E37" s="541"/>
      <c r="F37" s="541"/>
      <c r="G37" s="542"/>
      <c r="H37" s="543"/>
      <c r="I37" s="552">
        <f>SUM(I38:I43)</f>
        <v>55832.27999999999</v>
      </c>
    </row>
    <row r="38" spans="1:11" ht="12.75">
      <c r="A38" s="446" t="str">
        <f>MEMORIAL!A39</f>
        <v>4.1</v>
      </c>
      <c r="B38" s="448">
        <v>6081</v>
      </c>
      <c r="C38" s="532" t="str">
        <f>MEMORIAL!B39</f>
        <v>Material para aterro/reaterro (barro, argila ou saibro) - com transporte até 10 km</v>
      </c>
      <c r="D38" s="453" t="str">
        <f>MEMORIAL!C39</f>
        <v>m3</v>
      </c>
      <c r="E38" s="449">
        <f>MEMORIAL!D39</f>
        <v>52</v>
      </c>
      <c r="F38" s="449">
        <v>18.41</v>
      </c>
      <c r="G38" s="450">
        <f>'dados de entrada'!B$10</f>
        <v>0.25</v>
      </c>
      <c r="H38" s="561">
        <f aca="true" t="shared" si="2" ref="H38:H43">ROUND(F38*(1+G38),2)</f>
        <v>23.01</v>
      </c>
      <c r="I38" s="452">
        <f aca="true" t="shared" si="3" ref="I38:I43">ROUND(H38*E38,2)</f>
        <v>1196.52</v>
      </c>
      <c r="J38" t="s">
        <v>162</v>
      </c>
      <c r="K38" s="607"/>
    </row>
    <row r="39" spans="1:11" ht="12.75">
      <c r="A39" s="446" t="str">
        <f>MEMORIAL!A40</f>
        <v>4.2</v>
      </c>
      <c r="B39" s="448">
        <v>5622</v>
      </c>
      <c r="C39" s="532" t="str">
        <f>MEMORIAL!B40</f>
        <v>Regularização e compactação manual de terreno com soquete</v>
      </c>
      <c r="D39" s="453" t="str">
        <f>MEMORIAL!C40</f>
        <v>m2</v>
      </c>
      <c r="E39" s="449">
        <f>MEMORIAL!D40</f>
        <v>1043</v>
      </c>
      <c r="F39" s="449">
        <v>2.91</v>
      </c>
      <c r="G39" s="450">
        <f>'dados de entrada'!B$10</f>
        <v>0.25</v>
      </c>
      <c r="H39" s="561">
        <f>ROUND(F39*(1+G39),2)</f>
        <v>3.64</v>
      </c>
      <c r="I39" s="452">
        <f>ROUND(H39*E39,2)</f>
        <v>3796.52</v>
      </c>
      <c r="J39" t="s">
        <v>162</v>
      </c>
      <c r="K39" s="607"/>
    </row>
    <row r="40" spans="1:10" ht="12.75">
      <c r="A40" s="446" t="str">
        <f>MEMORIAL!A41</f>
        <v>4.3</v>
      </c>
      <c r="B40" s="448" t="s">
        <v>157</v>
      </c>
      <c r="C40" s="532" t="str">
        <f>MEMORIAL!B41</f>
        <v>Meio-fio interno 15 x 30 x 80 cm - incluindo rejunte e reaterro - fck=25 MPa</v>
      </c>
      <c r="D40" s="453" t="str">
        <f>MEMORIAL!C41</f>
        <v>m</v>
      </c>
      <c r="E40" s="449">
        <f>MEMORIAL!D41</f>
        <v>57</v>
      </c>
      <c r="F40" s="449">
        <v>29.5</v>
      </c>
      <c r="G40" s="450">
        <f>'dados de entrada'!B$10</f>
        <v>0.25</v>
      </c>
      <c r="H40" s="561">
        <f t="shared" si="2"/>
        <v>36.88</v>
      </c>
      <c r="I40" s="452">
        <f t="shared" si="3"/>
        <v>2102.16</v>
      </c>
      <c r="J40" t="s">
        <v>162</v>
      </c>
    </row>
    <row r="41" spans="1:11" ht="12.75">
      <c r="A41" s="446" t="str">
        <f>MEMORIAL!A42</f>
        <v>4.4</v>
      </c>
      <c r="B41" s="448" t="s">
        <v>552</v>
      </c>
      <c r="C41" s="532" t="str">
        <f>MEMORIAL!B42</f>
        <v>Pavimento intertravado paver holand cinza 20 x 10 x 6 cm fck=35 MPa</v>
      </c>
      <c r="D41" s="453" t="str">
        <f>MEMORIAL!C42</f>
        <v>m2</v>
      </c>
      <c r="E41" s="449">
        <f>MEMORIAL!D42</f>
        <v>890.5</v>
      </c>
      <c r="F41" s="449">
        <f>PAVER!F41</f>
        <v>36.4898</v>
      </c>
      <c r="G41" s="450">
        <f>'dados de entrada'!B$10</f>
        <v>0.25</v>
      </c>
      <c r="H41" s="561">
        <f t="shared" si="2"/>
        <v>45.61</v>
      </c>
      <c r="I41" s="452">
        <f t="shared" si="3"/>
        <v>40615.71</v>
      </c>
      <c r="J41" t="s">
        <v>162</v>
      </c>
      <c r="K41" s="607"/>
    </row>
    <row r="42" spans="1:11" ht="12.75">
      <c r="A42" s="446" t="str">
        <f>MEMORIAL!A43</f>
        <v>4.5</v>
      </c>
      <c r="B42" s="448" t="s">
        <v>552</v>
      </c>
      <c r="C42" s="532" t="str">
        <f>MEMORIAL!B43</f>
        <v>Sinalização tátil direcional 20 x 20 x 6 cm fck=35 MPa</v>
      </c>
      <c r="D42" s="453" t="str">
        <f>MEMORIAL!C43</f>
        <v>m2</v>
      </c>
      <c r="E42" s="449">
        <f>MEMORIAL!D43</f>
        <v>106.7</v>
      </c>
      <c r="F42" s="449">
        <f>TATIL!F43</f>
        <v>57.7523</v>
      </c>
      <c r="G42" s="450">
        <f>'dados de entrada'!B$10</f>
        <v>0.25</v>
      </c>
      <c r="H42" s="561">
        <f t="shared" si="2"/>
        <v>72.19</v>
      </c>
      <c r="I42" s="452">
        <f t="shared" si="3"/>
        <v>7702.67</v>
      </c>
      <c r="J42" t="s">
        <v>162</v>
      </c>
      <c r="K42" s="607"/>
    </row>
    <row r="43" spans="1:11" ht="12.75">
      <c r="A43" s="446" t="str">
        <f>MEMORIAL!A44</f>
        <v>4.6</v>
      </c>
      <c r="B43" s="448" t="s">
        <v>552</v>
      </c>
      <c r="C43" s="532" t="str">
        <f>MEMORIAL!B44</f>
        <v>Sinalização tátil de alerta 20 x 20 x 6 cm fck=35 MPa</v>
      </c>
      <c r="D43" s="453" t="str">
        <f>MEMORIAL!C44</f>
        <v>m2</v>
      </c>
      <c r="E43" s="449">
        <f>MEMORIAL!D44</f>
        <v>5.8</v>
      </c>
      <c r="F43" s="449">
        <f>TATIL!F43</f>
        <v>57.7523</v>
      </c>
      <c r="G43" s="450">
        <f>'dados de entrada'!B$10</f>
        <v>0.25</v>
      </c>
      <c r="H43" s="561">
        <f t="shared" si="2"/>
        <v>72.19</v>
      </c>
      <c r="I43" s="452">
        <f t="shared" si="3"/>
        <v>418.7</v>
      </c>
      <c r="J43" t="s">
        <v>162</v>
      </c>
      <c r="K43" s="607"/>
    </row>
    <row r="44" spans="1:9" ht="13.5" thickBot="1">
      <c r="A44" s="544"/>
      <c r="B44" s="545"/>
      <c r="C44" s="576"/>
      <c r="D44" s="547"/>
      <c r="E44" s="548"/>
      <c r="F44" s="548"/>
      <c r="G44" s="549"/>
      <c r="H44" s="550"/>
      <c r="I44" s="551"/>
    </row>
    <row r="45" spans="1:9" ht="12.75">
      <c r="A45" s="537" t="str">
        <f>MEMORIAL!A46</f>
        <v>5.0</v>
      </c>
      <c r="B45" s="538"/>
      <c r="C45" s="539" t="str">
        <f>MEMORIAL!B46</f>
        <v>RAMPA ACESSO PASSEIO DEFICIENTE FÍSICO</v>
      </c>
      <c r="D45" s="562"/>
      <c r="E45" s="541"/>
      <c r="F45" s="541"/>
      <c r="G45" s="542"/>
      <c r="H45" s="543"/>
      <c r="I45" s="552">
        <f>SUM(I46:I48)</f>
        <v>1362.9499999999998</v>
      </c>
    </row>
    <row r="46" spans="1:15" ht="12.75">
      <c r="A46" s="530" t="s">
        <v>444</v>
      </c>
      <c r="B46" s="448" t="s">
        <v>35</v>
      </c>
      <c r="C46" s="532" t="str">
        <f>MEMORIAL!B47</f>
        <v>Concreto simples h=7 cm, virado em betoneira fck=20 MPa</v>
      </c>
      <c r="D46" s="533" t="str">
        <f>MEMORIAL!C47</f>
        <v>m3</v>
      </c>
      <c r="E46" s="534">
        <f>MEMORIAL!D47</f>
        <v>3</v>
      </c>
      <c r="F46" s="534">
        <v>353.6</v>
      </c>
      <c r="G46" s="535">
        <f>'dados de entrada'!B$10</f>
        <v>0.25</v>
      </c>
      <c r="H46" s="561">
        <f>ROUND(F46*(1+G46),2)</f>
        <v>442</v>
      </c>
      <c r="I46" s="452">
        <f>ROUND(H46*E46,2)</f>
        <v>1326</v>
      </c>
      <c r="J46" t="s">
        <v>162</v>
      </c>
      <c r="O46" s="6">
        <f>I12+I15+I32+I37+I45+I50</f>
        <v>276078.13</v>
      </c>
    </row>
    <row r="47" spans="1:10" ht="12.75">
      <c r="A47" s="530" t="s">
        <v>445</v>
      </c>
      <c r="B47" s="448">
        <v>72947</v>
      </c>
      <c r="C47" s="532" t="str">
        <f>MEMORIAL!B48</f>
        <v>Pintura símbolo Deficiente Físico - Cor fundo azul 60 x 60 cm</v>
      </c>
      <c r="D47" s="533" t="str">
        <f>MEMORIAL!C48</f>
        <v>m2</v>
      </c>
      <c r="E47" s="534">
        <f>MEMORIAL!D48</f>
        <v>1.5</v>
      </c>
      <c r="F47" s="534">
        <v>17.38</v>
      </c>
      <c r="G47" s="535">
        <f>'dados de entrada'!B$10</f>
        <v>0.25</v>
      </c>
      <c r="H47" s="561">
        <f>ROUND(F47*(1+G47),2)</f>
        <v>21.73</v>
      </c>
      <c r="I47" s="452">
        <f>ROUND(H47*E47,2)</f>
        <v>32.6</v>
      </c>
      <c r="J47" t="s">
        <v>162</v>
      </c>
    </row>
    <row r="48" spans="1:10" ht="12.75">
      <c r="A48" s="530" t="s">
        <v>446</v>
      </c>
      <c r="B48" s="448">
        <v>72947</v>
      </c>
      <c r="C48" s="532" t="str">
        <f>MEMORIAL!B49</f>
        <v>Pintura símbolo Deficiente Físico - Pictograma cor branca</v>
      </c>
      <c r="D48" s="533" t="str">
        <f>MEMORIAL!C49</f>
        <v>m2</v>
      </c>
      <c r="E48" s="534">
        <f>MEMORIAL!D49</f>
        <v>0.2</v>
      </c>
      <c r="F48" s="534">
        <v>17.38</v>
      </c>
      <c r="G48" s="535">
        <f>'dados de entrada'!B$10</f>
        <v>0.25</v>
      </c>
      <c r="H48" s="561">
        <f>ROUND(F48*(1+G48),2)</f>
        <v>21.73</v>
      </c>
      <c r="I48" s="452">
        <f>ROUND(H48*E48,2)</f>
        <v>4.35</v>
      </c>
      <c r="J48" t="s">
        <v>162</v>
      </c>
    </row>
    <row r="49" spans="1:9" ht="13.5" thickBot="1">
      <c r="A49" s="577"/>
      <c r="B49" s="578"/>
      <c r="C49" s="576"/>
      <c r="D49" s="579"/>
      <c r="E49" s="580"/>
      <c r="F49" s="580"/>
      <c r="G49" s="581"/>
      <c r="H49" s="582"/>
      <c r="I49" s="583"/>
    </row>
    <row r="50" spans="1:9" ht="12.75">
      <c r="A50" s="537" t="str">
        <f>MEMORIAL!A51</f>
        <v>6.0</v>
      </c>
      <c r="B50" s="531"/>
      <c r="C50" s="539" t="str">
        <f>MEMORIAL!B51</f>
        <v>SINALIZAÇÃO</v>
      </c>
      <c r="D50" s="533"/>
      <c r="E50" s="534"/>
      <c r="F50" s="534"/>
      <c r="G50" s="535"/>
      <c r="H50" s="536"/>
      <c r="I50" s="552">
        <f>SUM(I51:I56)</f>
        <v>2797.3599999999997</v>
      </c>
    </row>
    <row r="51" spans="1:10" ht="12.75">
      <c r="A51" s="530" t="s">
        <v>448</v>
      </c>
      <c r="B51" s="448">
        <v>72947</v>
      </c>
      <c r="C51" s="532" t="str">
        <f>MEMORIAL!B52</f>
        <v>Pintura faixa de travessia de pedestres zebrada - FTP-1 cor branca</v>
      </c>
      <c r="D51" s="533" t="str">
        <f>MEMORIAL!C52</f>
        <v>m2</v>
      </c>
      <c r="E51" s="534">
        <f>MEMORIAL!D52</f>
        <v>25.200000000000003</v>
      </c>
      <c r="F51" s="534">
        <v>17.38</v>
      </c>
      <c r="G51" s="535">
        <f>'dados de entrada'!B$10</f>
        <v>0.25</v>
      </c>
      <c r="H51" s="561">
        <f aca="true" t="shared" si="4" ref="H51:H56">ROUND(F51*(1+G51),2)</f>
        <v>21.73</v>
      </c>
      <c r="I51" s="452">
        <f aca="true" t="shared" si="5" ref="I51:I56">ROUND(H51*E51,2)</f>
        <v>547.6</v>
      </c>
      <c r="J51" t="s">
        <v>162</v>
      </c>
    </row>
    <row r="52" spans="1:10" ht="12.75" customHeight="1">
      <c r="A52" s="530" t="s">
        <v>449</v>
      </c>
      <c r="B52" s="448" t="s">
        <v>415</v>
      </c>
      <c r="C52" s="532" t="str">
        <f>MEMORIAL!B53</f>
        <v>Placa de regulamentação R-1 - (Parada obrigatória)*</v>
      </c>
      <c r="D52" s="533" t="str">
        <f>MEMORIAL!C53</f>
        <v>m2</v>
      </c>
      <c r="E52" s="534">
        <f>MEMORIAL!D53</f>
        <v>0.6</v>
      </c>
      <c r="F52" s="534">
        <v>298.25</v>
      </c>
      <c r="G52" s="535">
        <f>'dados de entrada'!B$10</f>
        <v>0.25</v>
      </c>
      <c r="H52" s="561">
        <f t="shared" si="4"/>
        <v>372.81</v>
      </c>
      <c r="I52" s="452">
        <f t="shared" si="5"/>
        <v>223.69</v>
      </c>
      <c r="J52" t="s">
        <v>162</v>
      </c>
    </row>
    <row r="53" spans="1:10" ht="12.75">
      <c r="A53" s="530" t="s">
        <v>450</v>
      </c>
      <c r="B53" s="448" t="s">
        <v>415</v>
      </c>
      <c r="C53" s="532" t="str">
        <f>MEMORIAL!B54</f>
        <v>Placa regulamentadora R-19- (Velocidade maxima permitida)*</v>
      </c>
      <c r="D53" s="533" t="str">
        <f>MEMORIAL!C54</f>
        <v>m2</v>
      </c>
      <c r="E53" s="534">
        <f>MEMORIAL!D54</f>
        <v>0.6</v>
      </c>
      <c r="F53" s="534">
        <v>298.25</v>
      </c>
      <c r="G53" s="535">
        <f>'dados de entrada'!B$10</f>
        <v>0.25</v>
      </c>
      <c r="H53" s="561">
        <f t="shared" si="4"/>
        <v>372.81</v>
      </c>
      <c r="I53" s="452">
        <f t="shared" si="5"/>
        <v>223.69</v>
      </c>
      <c r="J53" t="s">
        <v>162</v>
      </c>
    </row>
    <row r="54" spans="1:10" ht="12.75">
      <c r="A54" s="530" t="s">
        <v>452</v>
      </c>
      <c r="B54" s="448" t="s">
        <v>415</v>
      </c>
      <c r="C54" s="532" t="str">
        <f>MEMORIAL!B55</f>
        <v>Placa de advertência A-32b - (Passagem sinalizada de pedestres)*</v>
      </c>
      <c r="D54" s="533" t="str">
        <f>MEMORIAL!C55</f>
        <v>m2</v>
      </c>
      <c r="E54" s="534">
        <f>MEMORIAL!D55</f>
        <v>1.4</v>
      </c>
      <c r="F54" s="534">
        <v>298.25</v>
      </c>
      <c r="G54" s="535">
        <f>'dados de entrada'!B$10</f>
        <v>0.25</v>
      </c>
      <c r="H54" s="561">
        <f t="shared" si="4"/>
        <v>372.81</v>
      </c>
      <c r="I54" s="452">
        <f t="shared" si="5"/>
        <v>521.93</v>
      </c>
      <c r="J54" t="s">
        <v>162</v>
      </c>
    </row>
    <row r="55" spans="1:9" ht="12.75" customHeight="1">
      <c r="A55" s="530" t="s">
        <v>456</v>
      </c>
      <c r="B55" s="448">
        <v>7698</v>
      </c>
      <c r="C55" s="532" t="str">
        <f>MEMORIAL!B56</f>
        <v>Tubo de aço galvanizado c/ costura DIN 2440/NBR 5580 classe media DN 1.1/4" (32mm) e=3,25mm - 3,14kg/m</v>
      </c>
      <c r="D55" s="533" t="str">
        <f>MEMORIAL!C56</f>
        <v>m</v>
      </c>
      <c r="E55" s="534">
        <f>MEMORIAL!D56</f>
        <v>24.8</v>
      </c>
      <c r="F55" s="534">
        <v>25.27</v>
      </c>
      <c r="G55" s="535">
        <f>'dados de entrada'!B$10</f>
        <v>0.25</v>
      </c>
      <c r="H55" s="561">
        <f t="shared" si="4"/>
        <v>31.59</v>
      </c>
      <c r="I55" s="452">
        <f t="shared" si="5"/>
        <v>783.43</v>
      </c>
    </row>
    <row r="56" spans="1:10" ht="12.75">
      <c r="A56" s="530" t="s">
        <v>610</v>
      </c>
      <c r="B56" s="448" t="s">
        <v>153</v>
      </c>
      <c r="C56" s="532" t="str">
        <f>MEMORIAL!B57</f>
        <v>Placa de Identificação de rua</v>
      </c>
      <c r="D56" s="533" t="str">
        <f>MEMORIAL!C57</f>
        <v>und</v>
      </c>
      <c r="E56" s="534">
        <f>MEMORIAL!D57</f>
        <v>2</v>
      </c>
      <c r="F56" s="534">
        <v>198.81</v>
      </c>
      <c r="G56" s="535">
        <f>'dados de entrada'!B$10</f>
        <v>0.25</v>
      </c>
      <c r="H56" s="561">
        <f t="shared" si="4"/>
        <v>248.51</v>
      </c>
      <c r="I56" s="452">
        <f t="shared" si="5"/>
        <v>497.02</v>
      </c>
      <c r="J56" t="s">
        <v>162</v>
      </c>
    </row>
    <row r="57" spans="1:12" ht="12.75">
      <c r="A57" s="530"/>
      <c r="B57" s="942"/>
      <c r="C57" s="943"/>
      <c r="D57" s="453"/>
      <c r="E57" s="449"/>
      <c r="F57" s="449"/>
      <c r="G57" s="450"/>
      <c r="H57" s="451"/>
      <c r="I57" s="452"/>
      <c r="L57" s="607">
        <f>I59/E33</f>
        <v>123.5055494665265</v>
      </c>
    </row>
    <row r="58" spans="1:9" ht="12.75">
      <c r="A58" s="716"/>
      <c r="B58" s="1220" t="s">
        <v>612</v>
      </c>
      <c r="C58" s="1221"/>
      <c r="D58" s="717"/>
      <c r="E58" s="718"/>
      <c r="F58" s="718"/>
      <c r="G58" s="719"/>
      <c r="H58" s="720"/>
      <c r="I58" s="560"/>
    </row>
    <row r="59" spans="1:9" ht="12.75" customHeight="1" thickBot="1">
      <c r="A59" s="945" t="s">
        <v>474</v>
      </c>
      <c r="B59" s="946"/>
      <c r="C59" s="946"/>
      <c r="D59" s="946"/>
      <c r="E59" s="946"/>
      <c r="F59" s="946"/>
      <c r="G59" s="946"/>
      <c r="H59" s="947"/>
      <c r="I59" s="683">
        <f>ROUND(I12+I15+I32+I37+I45+I50,2)</f>
        <v>276078.13</v>
      </c>
    </row>
    <row r="60" spans="1:12" s="188" customFormat="1" ht="12.75">
      <c r="A60" s="454"/>
      <c r="B60" s="455"/>
      <c r="C60" s="455"/>
      <c r="D60" s="455"/>
      <c r="E60" s="455"/>
      <c r="F60" s="455"/>
      <c r="G60" s="455"/>
      <c r="H60" s="455"/>
      <c r="I60" s="456"/>
      <c r="K60" s="606"/>
      <c r="L60" s="608"/>
    </row>
    <row r="61" spans="1:9" ht="12.75">
      <c r="A61" s="926" t="s">
        <v>475</v>
      </c>
      <c r="B61" s="927"/>
      <c r="C61" s="584" t="s">
        <v>476</v>
      </c>
      <c r="D61" s="585"/>
      <c r="E61" s="948" t="s">
        <v>477</v>
      </c>
      <c r="F61" s="948"/>
      <c r="G61" s="949"/>
      <c r="H61" s="950"/>
      <c r="I61" s="951"/>
    </row>
    <row r="62" spans="1:9" ht="12.75">
      <c r="A62" s="928"/>
      <c r="B62" s="929"/>
      <c r="C62" s="587" t="str">
        <f>'dados de entrada'!C24</f>
        <v>Carlos Alberto Bley</v>
      </c>
      <c r="D62" s="586"/>
      <c r="E62" s="948"/>
      <c r="F62" s="948"/>
      <c r="G62" s="949"/>
      <c r="H62" s="950"/>
      <c r="I62" s="951"/>
    </row>
    <row r="63" spans="1:9" ht="12.75">
      <c r="A63" s="930">
        <f>'dados de entrada'!B3</f>
        <v>41671</v>
      </c>
      <c r="B63" s="931"/>
      <c r="C63" s="588" t="s">
        <v>559</v>
      </c>
      <c r="D63" s="586"/>
      <c r="E63" s="948"/>
      <c r="F63" s="948"/>
      <c r="G63" s="949"/>
      <c r="H63" s="950"/>
      <c r="I63" s="951"/>
    </row>
    <row r="64" spans="1:9" ht="13.5" thickBot="1">
      <c r="A64" s="932"/>
      <c r="B64" s="933"/>
      <c r="C64" s="590" t="str">
        <f>'dados de entrada'!B17</f>
        <v>Engenheiro Civil - CREA SC 008.333-3</v>
      </c>
      <c r="D64" s="589"/>
      <c r="E64" s="952"/>
      <c r="F64" s="952"/>
      <c r="G64" s="953"/>
      <c r="H64" s="954"/>
      <c r="I64" s="955"/>
    </row>
    <row r="66" ht="12.75">
      <c r="A66" s="119" t="s">
        <v>478</v>
      </c>
    </row>
    <row r="67" spans="1:9" ht="12.75" customHeight="1">
      <c r="A67" s="925" t="s">
        <v>479</v>
      </c>
      <c r="B67" s="925"/>
      <c r="C67" s="925"/>
      <c r="D67" s="925"/>
      <c r="E67" s="925"/>
      <c r="F67" s="925"/>
      <c r="G67" s="925"/>
      <c r="H67" s="925"/>
      <c r="I67" s="925"/>
    </row>
    <row r="68" spans="1:9" ht="12.75">
      <c r="A68" s="925"/>
      <c r="B68" s="925"/>
      <c r="C68" s="925"/>
      <c r="D68" s="925"/>
      <c r="E68" s="925"/>
      <c r="F68" s="925"/>
      <c r="G68" s="925"/>
      <c r="H68" s="925"/>
      <c r="I68" s="925"/>
    </row>
    <row r="69" spans="1:9" ht="12.75">
      <c r="A69" s="925"/>
      <c r="B69" s="925"/>
      <c r="C69" s="925"/>
      <c r="D69" s="925"/>
      <c r="E69" s="925"/>
      <c r="F69" s="925"/>
      <c r="G69" s="925"/>
      <c r="H69" s="925"/>
      <c r="I69" s="925"/>
    </row>
    <row r="70" spans="1:9" ht="12.75">
      <c r="A70" s="925"/>
      <c r="B70" s="925"/>
      <c r="C70" s="925"/>
      <c r="D70" s="925"/>
      <c r="E70" s="925"/>
      <c r="F70" s="925"/>
      <c r="G70" s="925"/>
      <c r="H70" s="925"/>
      <c r="I70" s="925"/>
    </row>
    <row r="71" spans="1:9" ht="4.5" customHeight="1">
      <c r="A71" s="458"/>
      <c r="B71" s="458"/>
      <c r="C71" s="458"/>
      <c r="D71" s="458"/>
      <c r="E71" s="458"/>
      <c r="F71" s="458"/>
      <c r="G71" s="458"/>
      <c r="H71" s="458"/>
      <c r="I71" s="458"/>
    </row>
    <row r="72" spans="1:9" ht="12.75" customHeight="1">
      <c r="A72" s="925" t="s">
        <v>480</v>
      </c>
      <c r="B72" s="925"/>
      <c r="C72" s="925"/>
      <c r="D72" s="925"/>
      <c r="E72" s="925"/>
      <c r="F72" s="925"/>
      <c r="G72" s="925"/>
      <c r="H72" s="925"/>
      <c r="I72" s="925"/>
    </row>
    <row r="73" spans="1:9" ht="12.75">
      <c r="A73" s="925"/>
      <c r="B73" s="925"/>
      <c r="C73" s="925"/>
      <c r="D73" s="925"/>
      <c r="E73" s="925"/>
      <c r="F73" s="925"/>
      <c r="G73" s="925"/>
      <c r="H73" s="925"/>
      <c r="I73" s="925"/>
    </row>
    <row r="74" spans="1:9" ht="4.5" customHeight="1">
      <c r="A74" s="457"/>
      <c r="B74" s="457"/>
      <c r="C74" s="457"/>
      <c r="D74" s="457"/>
      <c r="E74" s="457"/>
      <c r="F74" s="457"/>
      <c r="G74" s="457"/>
      <c r="H74" s="457"/>
      <c r="I74" s="457"/>
    </row>
    <row r="75" spans="1:9" ht="12.75">
      <c r="A75" s="944" t="s">
        <v>481</v>
      </c>
      <c r="B75" s="944"/>
      <c r="C75" s="944"/>
      <c r="D75" s="944"/>
      <c r="E75" s="944"/>
      <c r="F75" s="944"/>
      <c r="G75" s="944"/>
      <c r="H75" s="944"/>
      <c r="I75" s="944"/>
    </row>
  </sheetData>
  <sheetProtection/>
  <mergeCells count="28">
    <mergeCell ref="B7:I7"/>
    <mergeCell ref="A1:G1"/>
    <mergeCell ref="I1:I2"/>
    <mergeCell ref="A2:G2"/>
    <mergeCell ref="A5:A6"/>
    <mergeCell ref="B5:G6"/>
    <mergeCell ref="A3:A4"/>
    <mergeCell ref="B3:G4"/>
    <mergeCell ref="A72:I73"/>
    <mergeCell ref="A75:I75"/>
    <mergeCell ref="A59:H59"/>
    <mergeCell ref="E61:I64"/>
    <mergeCell ref="A10:A11"/>
    <mergeCell ref="B10:B11"/>
    <mergeCell ref="C10:C11"/>
    <mergeCell ref="D10:D11"/>
    <mergeCell ref="E10:E11"/>
    <mergeCell ref="F10:F11"/>
    <mergeCell ref="A67:I70"/>
    <mergeCell ref="A61:B62"/>
    <mergeCell ref="A63:B64"/>
    <mergeCell ref="A8:B8"/>
    <mergeCell ref="C8:I8"/>
    <mergeCell ref="G10:G11"/>
    <mergeCell ref="H10:H11"/>
    <mergeCell ref="I10:I11"/>
    <mergeCell ref="B57:C57"/>
    <mergeCell ref="B58:C58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6" r:id="rId2"/>
  <rowBreaks count="1" manualBreakCount="1">
    <brk id="6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showGridLines="0" zoomScaleSheetLayoutView="100" zoomScalePageLayoutView="0" workbookViewId="0" topLeftCell="A19">
      <selection activeCell="O53" sqref="O5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64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5" max="15" width="9.7109375" style="0" bestFit="1" customWidth="1"/>
    <col min="16" max="16" width="10.28125" style="0" customWidth="1"/>
  </cols>
  <sheetData>
    <row r="1" spans="1:28" ht="36" customHeight="1">
      <c r="A1" s="1026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13" t="s">
        <v>482</v>
      </c>
      <c r="P1" s="1014"/>
      <c r="S1" s="1017"/>
      <c r="T1" s="1017"/>
      <c r="U1" s="1017"/>
      <c r="V1" s="1017"/>
      <c r="W1" s="1017"/>
      <c r="X1" s="1017"/>
      <c r="Y1" s="1018"/>
      <c r="Z1" s="169"/>
      <c r="AA1" s="169"/>
      <c r="AB1" s="169"/>
    </row>
    <row r="2" spans="1:28" ht="24" customHeight="1">
      <c r="A2" s="1019" t="s">
        <v>483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5"/>
      <c r="P2" s="1016"/>
      <c r="S2" s="1017"/>
      <c r="T2" s="1017"/>
      <c r="U2" s="1017"/>
      <c r="V2" s="1017"/>
      <c r="W2" s="1017"/>
      <c r="X2" s="1017"/>
      <c r="Y2" s="1018"/>
      <c r="Z2" s="169"/>
      <c r="AA2" s="169"/>
      <c r="AB2" s="169"/>
    </row>
    <row r="3" spans="1:28" ht="13.5" customHeight="1">
      <c r="A3" s="1025" t="s">
        <v>465</v>
      </c>
      <c r="B3" s="994"/>
      <c r="C3" s="994"/>
      <c r="D3" s="994" t="str">
        <f>'dados de entrada'!B4</f>
        <v>BOMBINHAS</v>
      </c>
      <c r="E3" s="994"/>
      <c r="F3" s="994"/>
      <c r="G3" s="994"/>
      <c r="H3" s="994"/>
      <c r="I3" s="994"/>
      <c r="J3" s="994"/>
      <c r="K3" s="994"/>
      <c r="L3" s="994"/>
      <c r="M3" s="994"/>
      <c r="N3" s="995"/>
      <c r="O3" s="1020" t="s">
        <v>484</v>
      </c>
      <c r="P3" s="1021"/>
      <c r="S3" s="1024"/>
      <c r="T3" s="1024"/>
      <c r="U3" s="1024"/>
      <c r="V3" s="1024"/>
      <c r="W3" s="1024"/>
      <c r="X3" s="1024"/>
      <c r="Y3" s="460"/>
      <c r="Z3" s="169"/>
      <c r="AA3" s="169"/>
      <c r="AB3" s="169"/>
    </row>
    <row r="4" spans="1:28" ht="13.5" customHeight="1">
      <c r="A4" s="1025" t="s">
        <v>17</v>
      </c>
      <c r="B4" s="994"/>
      <c r="C4" s="994"/>
      <c r="D4" s="994" t="str">
        <f>'dados de entrada'!B8</f>
        <v>PAVIMENTAÇÃO COM LAJOTAS SEXTAVADAS E DRENAGEM PLUVIAL </v>
      </c>
      <c r="E4" s="994"/>
      <c r="F4" s="994"/>
      <c r="G4" s="994"/>
      <c r="H4" s="994"/>
      <c r="I4" s="994"/>
      <c r="J4" s="994"/>
      <c r="K4" s="994"/>
      <c r="L4" s="994"/>
      <c r="M4" s="994"/>
      <c r="N4" s="995"/>
      <c r="O4" s="1022"/>
      <c r="P4" s="1023"/>
      <c r="S4" s="438"/>
      <c r="T4" s="438"/>
      <c r="U4" s="438"/>
      <c r="V4" s="438"/>
      <c r="W4" s="438"/>
      <c r="X4" s="438"/>
      <c r="Y4" s="460"/>
      <c r="Z4" s="169"/>
      <c r="AA4" s="169"/>
      <c r="AB4" s="169"/>
    </row>
    <row r="5" spans="1:28" ht="13.5" customHeight="1">
      <c r="A5" s="1028" t="s">
        <v>200</v>
      </c>
      <c r="B5" s="959"/>
      <c r="C5" s="959"/>
      <c r="D5" s="994" t="str">
        <f>'dados de entrada'!C19</f>
        <v>RUA CAJÚ - BAIRRO SERTÃOZINHO</v>
      </c>
      <c r="E5" s="994"/>
      <c r="F5" s="994"/>
      <c r="G5" s="994"/>
      <c r="H5" s="994"/>
      <c r="I5" s="994"/>
      <c r="J5" s="994"/>
      <c r="K5" s="994"/>
      <c r="L5" s="994"/>
      <c r="M5" s="994"/>
      <c r="N5" s="995"/>
      <c r="O5" s="565" t="s">
        <v>485</v>
      </c>
      <c r="P5" s="566"/>
      <c r="S5" s="438"/>
      <c r="T5" s="438"/>
      <c r="U5" s="438"/>
      <c r="V5" s="438"/>
      <c r="W5" s="438"/>
      <c r="X5" s="438"/>
      <c r="Y5" s="460"/>
      <c r="Z5" s="169"/>
      <c r="AA5" s="169"/>
      <c r="AB5" s="169"/>
    </row>
    <row r="6" spans="1:28" ht="12.75" customHeight="1">
      <c r="A6" s="996" t="s">
        <v>468</v>
      </c>
      <c r="B6" s="997"/>
      <c r="C6" s="997"/>
      <c r="D6" s="997"/>
      <c r="E6" s="936" t="str">
        <f>'dados de entrada'!B9</f>
        <v>SINAPI - 01/01/2014 - COM DESONERAÇÃO</v>
      </c>
      <c r="F6" s="936"/>
      <c r="G6" s="937"/>
      <c r="H6" s="996" t="s">
        <v>486</v>
      </c>
      <c r="I6" s="997"/>
      <c r="J6" s="997"/>
      <c r="K6" s="997"/>
      <c r="L6" s="997"/>
      <c r="M6" s="997"/>
      <c r="N6" s="997"/>
      <c r="O6" s="982">
        <f>'dados de entrada'!B3</f>
        <v>41671</v>
      </c>
      <c r="P6" s="983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4.25" customHeight="1">
      <c r="A7" s="1029" t="s">
        <v>0</v>
      </c>
      <c r="B7" s="1031" t="s">
        <v>1</v>
      </c>
      <c r="C7" s="1031"/>
      <c r="D7" s="1031"/>
      <c r="E7" s="1033" t="s">
        <v>487</v>
      </c>
      <c r="F7" s="1033"/>
      <c r="G7" s="1033"/>
      <c r="H7" s="1033"/>
      <c r="I7" s="1033"/>
      <c r="J7" s="1033"/>
      <c r="K7" s="1033"/>
      <c r="L7" s="1033"/>
      <c r="M7" s="1033"/>
      <c r="N7" s="1033"/>
      <c r="O7" s="990" t="s">
        <v>5</v>
      </c>
      <c r="P7" s="991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4.25" customHeight="1">
      <c r="A8" s="1029"/>
      <c r="B8" s="1031"/>
      <c r="C8" s="1031"/>
      <c r="D8" s="1031"/>
      <c r="E8" s="992" t="s">
        <v>488</v>
      </c>
      <c r="F8" s="993"/>
      <c r="G8" s="992" t="s">
        <v>489</v>
      </c>
      <c r="H8" s="993"/>
      <c r="I8" s="992" t="s">
        <v>490</v>
      </c>
      <c r="J8" s="993"/>
      <c r="K8" s="992" t="s">
        <v>491</v>
      </c>
      <c r="L8" s="993"/>
      <c r="M8" s="992" t="s">
        <v>492</v>
      </c>
      <c r="N8" s="993"/>
      <c r="O8" s="990"/>
      <c r="P8" s="991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3.5" thickBot="1">
      <c r="A9" s="1030"/>
      <c r="B9" s="1032"/>
      <c r="C9" s="1032"/>
      <c r="D9" s="1032"/>
      <c r="E9" s="591" t="s">
        <v>6</v>
      </c>
      <c r="F9" s="591" t="s">
        <v>7</v>
      </c>
      <c r="G9" s="591" t="s">
        <v>6</v>
      </c>
      <c r="H9" s="591" t="s">
        <v>7</v>
      </c>
      <c r="I9" s="591" t="s">
        <v>6</v>
      </c>
      <c r="J9" s="591" t="s">
        <v>7</v>
      </c>
      <c r="K9" s="591" t="s">
        <v>6</v>
      </c>
      <c r="L9" s="591" t="s">
        <v>7</v>
      </c>
      <c r="M9" s="591" t="s">
        <v>6</v>
      </c>
      <c r="N9" s="591" t="s">
        <v>7</v>
      </c>
      <c r="O9" s="591" t="s">
        <v>6</v>
      </c>
      <c r="P9" s="592" t="s">
        <v>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3.5" customHeight="1">
      <c r="A10" s="537" t="str">
        <f>ORÇAMENTO!A12</f>
        <v>1.0</v>
      </c>
      <c r="B10" s="986" t="str">
        <f>ORÇAMENTO!C12</f>
        <v>SERVIÇOS INICIAIS</v>
      </c>
      <c r="C10" s="987"/>
      <c r="D10" s="987"/>
      <c r="E10" s="621">
        <f>SUM(E11)</f>
        <v>1372.95</v>
      </c>
      <c r="F10" s="615">
        <f>E10/$O$10</f>
        <v>1</v>
      </c>
      <c r="G10" s="621">
        <f>SUM(G11)</f>
        <v>0</v>
      </c>
      <c r="H10" s="615">
        <f>G10/$O$10</f>
        <v>0</v>
      </c>
      <c r="I10" s="621">
        <f>SUM(I11)</f>
        <v>0</v>
      </c>
      <c r="J10" s="615">
        <f>I10/$O$10</f>
        <v>0</v>
      </c>
      <c r="K10" s="621">
        <f>SUM(K11)</f>
        <v>0</v>
      </c>
      <c r="L10" s="615">
        <f>K10/$O$10</f>
        <v>0</v>
      </c>
      <c r="M10" s="621">
        <f>SUM(M11)</f>
        <v>0</v>
      </c>
      <c r="N10" s="615">
        <f>M10/$O$10</f>
        <v>0</v>
      </c>
      <c r="O10" s="612">
        <f>SUM(O11)</f>
        <v>1372.95</v>
      </c>
      <c r="P10" s="614">
        <f>(O10/$O$56)</f>
        <v>0.004973048752539725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3.5" customHeight="1">
      <c r="A11" s="446" t="str">
        <f>ORÇAMENTO!A13</f>
        <v>1.1</v>
      </c>
      <c r="B11" s="988" t="str">
        <f>ORÇAMENTO!C13</f>
        <v>Placa de obra</v>
      </c>
      <c r="C11" s="989"/>
      <c r="D11" s="989"/>
      <c r="E11" s="461">
        <f>F11*O11</f>
        <v>1372.95</v>
      </c>
      <c r="F11" s="616">
        <v>1</v>
      </c>
      <c r="G11" s="461">
        <f>H11*($O$11)</f>
        <v>0</v>
      </c>
      <c r="H11" s="616">
        <v>0</v>
      </c>
      <c r="I11" s="461">
        <f>J11*($O$11)</f>
        <v>0</v>
      </c>
      <c r="J11" s="616">
        <v>0</v>
      </c>
      <c r="K11" s="461">
        <f>L11*($O$11)</f>
        <v>0</v>
      </c>
      <c r="L11" s="616">
        <v>0</v>
      </c>
      <c r="M11" s="461">
        <f>N11*($O$11)</f>
        <v>0</v>
      </c>
      <c r="N11" s="616">
        <v>0</v>
      </c>
      <c r="O11" s="462">
        <f>ORÇAMENTO!I13</f>
        <v>1372.95</v>
      </c>
      <c r="P11" s="618">
        <f>(O11/$O$56)</f>
        <v>0.004973048752539725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3.5" customHeight="1" thickBot="1">
      <c r="A12" s="553"/>
      <c r="B12" s="984"/>
      <c r="C12" s="985"/>
      <c r="D12" s="985"/>
      <c r="E12" s="596"/>
      <c r="F12" s="597"/>
      <c r="G12" s="596"/>
      <c r="H12" s="598"/>
      <c r="I12" s="596"/>
      <c r="J12" s="598"/>
      <c r="K12" s="596"/>
      <c r="L12" s="598"/>
      <c r="M12" s="596"/>
      <c r="N12" s="597"/>
      <c r="O12" s="600"/>
      <c r="P12" s="59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3.5" customHeight="1">
      <c r="A13" s="537" t="str">
        <f>ORÇAMENTO!A15</f>
        <v>2.0</v>
      </c>
      <c r="B13" s="986" t="str">
        <f>ORÇAMENTO!C15</f>
        <v>SERVIÇOS EM DRENAGEM PLUVIAL</v>
      </c>
      <c r="C13" s="987"/>
      <c r="D13" s="987"/>
      <c r="E13" s="621">
        <f>SUM(E14:E29)</f>
        <v>62488.21</v>
      </c>
      <c r="F13" s="620">
        <f>E13/$O$13</f>
        <v>1</v>
      </c>
      <c r="G13" s="621">
        <f>SUM(G14:G29)</f>
        <v>0</v>
      </c>
      <c r="H13" s="620">
        <f>G13/$O$13</f>
        <v>0</v>
      </c>
      <c r="I13" s="621">
        <f>SUM(I14:I29)</f>
        <v>0</v>
      </c>
      <c r="J13" s="620">
        <f>I13/$O$13</f>
        <v>0</v>
      </c>
      <c r="K13" s="621">
        <f>SUM(K14:K29)</f>
        <v>0</v>
      </c>
      <c r="L13" s="620">
        <f>K13/$O$13</f>
        <v>0</v>
      </c>
      <c r="M13" s="621">
        <f>SUM(M14:M29)</f>
        <v>0</v>
      </c>
      <c r="N13" s="620">
        <f>M13/$O$13</f>
        <v>0</v>
      </c>
      <c r="O13" s="612">
        <f>SUM(O14:O29)</f>
        <v>62488.21</v>
      </c>
      <c r="P13" s="614">
        <f aca="true" t="shared" si="0" ref="P13:P28">(O13/$O$56)</f>
        <v>0.22634248500596552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3.5" customHeight="1">
      <c r="A14" s="446" t="str">
        <f>ORÇAMENTO!A16</f>
        <v>2.1</v>
      </c>
      <c r="B14" s="988" t="str">
        <f>ORÇAMENTO!C16</f>
        <v>Escavação mec. de valas em qualquer tipo de solo, 0,00 a 4,00 m</v>
      </c>
      <c r="C14" s="989"/>
      <c r="D14" s="989"/>
      <c r="E14" s="461">
        <f>F14*O14</f>
        <v>3116.75</v>
      </c>
      <c r="F14" s="616">
        <v>1</v>
      </c>
      <c r="G14" s="461">
        <f>H14*O14</f>
        <v>0</v>
      </c>
      <c r="H14" s="616">
        <v>0</v>
      </c>
      <c r="I14" s="461">
        <f>J14*O14</f>
        <v>0</v>
      </c>
      <c r="J14" s="616">
        <v>0</v>
      </c>
      <c r="K14" s="461">
        <f>L14*O14</f>
        <v>0</v>
      </c>
      <c r="L14" s="616">
        <v>0</v>
      </c>
      <c r="M14" s="461">
        <f>N14*O14</f>
        <v>0</v>
      </c>
      <c r="N14" s="616">
        <v>0</v>
      </c>
      <c r="O14" s="462">
        <f>ORÇAMENTO!I16</f>
        <v>3116.75</v>
      </c>
      <c r="P14" s="618">
        <f t="shared" si="0"/>
        <v>0.011289376670292572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3.5" customHeight="1">
      <c r="A15" s="446" t="str">
        <f>ORÇAMENTO!A17</f>
        <v>2.2</v>
      </c>
      <c r="B15" s="988" t="str">
        <f>ORÇAMENTO!C17</f>
        <v>Lastro de brita 6 cm x 60 cm</v>
      </c>
      <c r="C15" s="989"/>
      <c r="D15" s="989"/>
      <c r="E15" s="461">
        <f aca="true" t="shared" si="1" ref="E15:E28">F15*O15</f>
        <v>1214.9</v>
      </c>
      <c r="F15" s="616">
        <v>1</v>
      </c>
      <c r="G15" s="461">
        <f aca="true" t="shared" si="2" ref="G15:G28">H15*O15</f>
        <v>0</v>
      </c>
      <c r="H15" s="616">
        <v>0</v>
      </c>
      <c r="I15" s="461">
        <f aca="true" t="shared" si="3" ref="I15:I28">J15*O15</f>
        <v>0</v>
      </c>
      <c r="J15" s="616">
        <v>0</v>
      </c>
      <c r="K15" s="461">
        <f aca="true" t="shared" si="4" ref="K15:K28">L15*O15</f>
        <v>0</v>
      </c>
      <c r="L15" s="616">
        <v>0</v>
      </c>
      <c r="M15" s="461">
        <f aca="true" t="shared" si="5" ref="M15:M28">N15*O15</f>
        <v>0</v>
      </c>
      <c r="N15" s="616">
        <v>0</v>
      </c>
      <c r="O15" s="462">
        <f>ORÇAMENTO!I17</f>
        <v>1214.9</v>
      </c>
      <c r="P15" s="618">
        <f t="shared" si="0"/>
        <v>0.004400565883288184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customHeight="1">
      <c r="A16" s="446" t="str">
        <f>ORÇAMENTO!A18</f>
        <v>2.3</v>
      </c>
      <c r="B16" s="988" t="str">
        <f>ORÇAMENTO!C18</f>
        <v>Assentamento de tubos de concreto diametro de 30 cm., armado ou simples</v>
      </c>
      <c r="C16" s="989"/>
      <c r="D16" s="989"/>
      <c r="E16" s="461">
        <f>F16*O16</f>
        <v>814.06</v>
      </c>
      <c r="F16" s="616">
        <v>1</v>
      </c>
      <c r="G16" s="461">
        <f>H16*O16</f>
        <v>0</v>
      </c>
      <c r="H16" s="616">
        <v>0</v>
      </c>
      <c r="I16" s="461">
        <f>J16*O16</f>
        <v>0</v>
      </c>
      <c r="J16" s="616">
        <v>0</v>
      </c>
      <c r="K16" s="461">
        <f>L16*O16</f>
        <v>0</v>
      </c>
      <c r="L16" s="616">
        <v>0</v>
      </c>
      <c r="M16" s="461">
        <f>N16*O16</f>
        <v>0</v>
      </c>
      <c r="N16" s="616">
        <v>0</v>
      </c>
      <c r="O16" s="462">
        <f>ORÇAMENTO!I18</f>
        <v>814.06</v>
      </c>
      <c r="P16" s="618">
        <f>(O16/$O$56)</f>
        <v>0.0029486580483575426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customHeight="1">
      <c r="A17" s="446" t="str">
        <f>ORÇAMENTO!A19</f>
        <v>2.4</v>
      </c>
      <c r="B17" s="988" t="str">
        <f>ORÇAMENTO!C19</f>
        <v>Tubo de concreto simples classe - PS2 - NBR-8890 de Ø 30 cm, para águas pluviais</v>
      </c>
      <c r="C17" s="989"/>
      <c r="D17" s="989"/>
      <c r="E17" s="461">
        <f t="shared" si="1"/>
        <v>1519</v>
      </c>
      <c r="F17" s="616">
        <v>1</v>
      </c>
      <c r="G17" s="461">
        <f t="shared" si="2"/>
        <v>0</v>
      </c>
      <c r="H17" s="616">
        <v>0</v>
      </c>
      <c r="I17" s="461">
        <f t="shared" si="3"/>
        <v>0</v>
      </c>
      <c r="J17" s="616">
        <v>0</v>
      </c>
      <c r="K17" s="461">
        <f t="shared" si="4"/>
        <v>0</v>
      </c>
      <c r="L17" s="616">
        <v>0</v>
      </c>
      <c r="M17" s="461">
        <f t="shared" si="5"/>
        <v>0</v>
      </c>
      <c r="N17" s="616">
        <v>0</v>
      </c>
      <c r="O17" s="462">
        <f>ORÇAMENTO!I19</f>
        <v>1519</v>
      </c>
      <c r="P17" s="618">
        <f t="shared" si="0"/>
        <v>0.005502065665252079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3.5" customHeight="1">
      <c r="A18" s="446" t="str">
        <f>ORÇAMENTO!A20</f>
        <v>2.5</v>
      </c>
      <c r="B18" s="988" t="str">
        <f>ORÇAMENTO!C20</f>
        <v>Assentamento de tubos de concreto diametro de 40 cm., armado ou simples</v>
      </c>
      <c r="C18" s="989"/>
      <c r="D18" s="989"/>
      <c r="E18" s="461">
        <f>F18*O18</f>
        <v>2990.4</v>
      </c>
      <c r="F18" s="616">
        <v>1</v>
      </c>
      <c r="G18" s="461">
        <f>H18*O18</f>
        <v>0</v>
      </c>
      <c r="H18" s="616">
        <v>0</v>
      </c>
      <c r="I18" s="461">
        <f>J18*O18</f>
        <v>0</v>
      </c>
      <c r="J18" s="616">
        <v>0</v>
      </c>
      <c r="K18" s="461">
        <f>L18*O18</f>
        <v>0</v>
      </c>
      <c r="L18" s="616">
        <v>0</v>
      </c>
      <c r="M18" s="461">
        <f>N18*O18</f>
        <v>0</v>
      </c>
      <c r="N18" s="616">
        <v>0</v>
      </c>
      <c r="O18" s="462">
        <f>ORÇAMENTO!I20</f>
        <v>2990.4</v>
      </c>
      <c r="P18" s="618">
        <f>(O18/$O$56)</f>
        <v>0.010831716369565383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customHeight="1">
      <c r="A19" s="446" t="str">
        <f>ORÇAMENTO!A21</f>
        <v>2.6</v>
      </c>
      <c r="B19" s="988" t="str">
        <f>ORÇAMENTO!C21</f>
        <v>Tubo de concreto armado classe - PA2 PB NBR-8890/2007 de Ø 40 cm, para águas pluviais</v>
      </c>
      <c r="C19" s="989"/>
      <c r="D19" s="989"/>
      <c r="E19" s="461">
        <f t="shared" si="1"/>
        <v>11433.6</v>
      </c>
      <c r="F19" s="616">
        <v>1</v>
      </c>
      <c r="G19" s="461">
        <f t="shared" si="2"/>
        <v>0</v>
      </c>
      <c r="H19" s="616">
        <v>0</v>
      </c>
      <c r="I19" s="461">
        <f t="shared" si="3"/>
        <v>0</v>
      </c>
      <c r="J19" s="616">
        <v>0</v>
      </c>
      <c r="K19" s="461">
        <f t="shared" si="4"/>
        <v>0</v>
      </c>
      <c r="L19" s="616">
        <v>0</v>
      </c>
      <c r="M19" s="461">
        <f t="shared" si="5"/>
        <v>0</v>
      </c>
      <c r="N19" s="616">
        <v>0</v>
      </c>
      <c r="O19" s="462">
        <f>ORÇAMENTO!I21</f>
        <v>11433.6</v>
      </c>
      <c r="P19" s="618">
        <f t="shared" si="0"/>
        <v>0.04141436339053731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customHeight="1">
      <c r="A20" s="446" t="str">
        <f>ORÇAMENTO!A22</f>
        <v>2.7</v>
      </c>
      <c r="B20" s="988" t="str">
        <f>ORÇAMENTO!C22</f>
        <v>Assentamento de tubos de concreto diametro de 60 cm., armado ou simples</v>
      </c>
      <c r="C20" s="989"/>
      <c r="D20" s="989"/>
      <c r="E20" s="461">
        <f>F20*O20</f>
        <v>4035.96</v>
      </c>
      <c r="F20" s="616">
        <v>1</v>
      </c>
      <c r="G20" s="461">
        <f>H20*O20</f>
        <v>0</v>
      </c>
      <c r="H20" s="616">
        <v>0</v>
      </c>
      <c r="I20" s="461">
        <f>J20*O20</f>
        <v>0</v>
      </c>
      <c r="J20" s="616">
        <v>0</v>
      </c>
      <c r="K20" s="461">
        <f>L20*O20</f>
        <v>0</v>
      </c>
      <c r="L20" s="616">
        <v>0</v>
      </c>
      <c r="M20" s="461">
        <f>N20*O20</f>
        <v>0</v>
      </c>
      <c r="N20" s="616">
        <v>0</v>
      </c>
      <c r="O20" s="462">
        <f>ORÇAMENTO!I22</f>
        <v>4035.96</v>
      </c>
      <c r="P20" s="618">
        <f>(O20/$O$56)</f>
        <v>0.014618905162824741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 customHeight="1">
      <c r="A21" s="446" t="str">
        <f>ORÇAMENTO!A23</f>
        <v>2.8</v>
      </c>
      <c r="B21" s="988" t="str">
        <f>ORÇAMENTO!C23</f>
        <v>Tubo de concreto armado classe - PA2 PB NBR-8890/2007 de Ø 60 cm, para águas pluviais</v>
      </c>
      <c r="C21" s="989"/>
      <c r="D21" s="989"/>
      <c r="E21" s="461">
        <f t="shared" si="1"/>
        <v>13715.16</v>
      </c>
      <c r="F21" s="616">
        <v>1</v>
      </c>
      <c r="G21" s="461">
        <f t="shared" si="2"/>
        <v>0</v>
      </c>
      <c r="H21" s="616">
        <v>0</v>
      </c>
      <c r="I21" s="461">
        <f t="shared" si="3"/>
        <v>0</v>
      </c>
      <c r="J21" s="616">
        <v>0</v>
      </c>
      <c r="K21" s="461">
        <f t="shared" si="4"/>
        <v>0</v>
      </c>
      <c r="L21" s="616">
        <v>0</v>
      </c>
      <c r="M21" s="461">
        <f t="shared" si="5"/>
        <v>0</v>
      </c>
      <c r="N21" s="616">
        <v>0</v>
      </c>
      <c r="O21" s="462">
        <f>ORÇAMENTO!I23</f>
        <v>13715.16</v>
      </c>
      <c r="P21" s="618">
        <f t="shared" si="0"/>
        <v>0.04967854570733292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 customHeight="1">
      <c r="A22" s="446" t="str">
        <f>ORÇAMENTO!A24</f>
        <v>2.9</v>
      </c>
      <c r="B22" s="988" t="str">
        <f>ORÇAMENTO!C24</f>
        <v>Fornecimento e colocação de manta geotextil 200 g/m2, largura = 30 cm</v>
      </c>
      <c r="C22" s="989"/>
      <c r="D22" s="989"/>
      <c r="E22" s="461">
        <f t="shared" si="1"/>
        <v>1528.52</v>
      </c>
      <c r="F22" s="616">
        <v>1</v>
      </c>
      <c r="G22" s="461">
        <f t="shared" si="2"/>
        <v>0</v>
      </c>
      <c r="H22" s="616">
        <v>0</v>
      </c>
      <c r="I22" s="461">
        <f t="shared" si="3"/>
        <v>0</v>
      </c>
      <c r="J22" s="616">
        <v>0</v>
      </c>
      <c r="K22" s="461">
        <f t="shared" si="4"/>
        <v>0</v>
      </c>
      <c r="L22" s="616">
        <v>0</v>
      </c>
      <c r="M22" s="461">
        <f t="shared" si="5"/>
        <v>0</v>
      </c>
      <c r="N22" s="616">
        <v>0</v>
      </c>
      <c r="O22" s="462">
        <f>ORÇAMENTO!I24</f>
        <v>1528.52</v>
      </c>
      <c r="P22" s="618">
        <f t="shared" si="0"/>
        <v>0.005536548657439834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 customHeight="1">
      <c r="A23" s="446" t="str">
        <f>ORÇAMENTO!A25</f>
        <v>2.10</v>
      </c>
      <c r="B23" s="988" t="str">
        <f>ORÇAMENTO!C25</f>
        <v>Reaterro de vala com material granular reaproveitado adensado e vibrado</v>
      </c>
      <c r="C23" s="989"/>
      <c r="D23" s="989"/>
      <c r="E23" s="461">
        <f t="shared" si="1"/>
        <v>3734.99</v>
      </c>
      <c r="F23" s="616">
        <v>1</v>
      </c>
      <c r="G23" s="461">
        <f t="shared" si="2"/>
        <v>0</v>
      </c>
      <c r="H23" s="616">
        <v>0</v>
      </c>
      <c r="I23" s="461">
        <f t="shared" si="3"/>
        <v>0</v>
      </c>
      <c r="J23" s="616">
        <v>0</v>
      </c>
      <c r="K23" s="461">
        <f t="shared" si="4"/>
        <v>0</v>
      </c>
      <c r="L23" s="616">
        <v>0</v>
      </c>
      <c r="M23" s="461">
        <f t="shared" si="5"/>
        <v>0</v>
      </c>
      <c r="N23" s="616">
        <v>0</v>
      </c>
      <c r="O23" s="462">
        <f>ORÇAMENTO!I25</f>
        <v>3734.99</v>
      </c>
      <c r="P23" s="618">
        <f t="shared" si="0"/>
        <v>0.013528742751191482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customHeight="1">
      <c r="A24" s="446" t="str">
        <f>ORÇAMENTO!A26</f>
        <v>2.11</v>
      </c>
      <c r="B24" s="988" t="str">
        <f>ORÇAMENTO!C26</f>
        <v>Carga mecanizada e remoção de excedentes com transporte até 1 km</v>
      </c>
      <c r="C24" s="989"/>
      <c r="D24" s="989"/>
      <c r="E24" s="461">
        <f t="shared" si="1"/>
        <v>679.88</v>
      </c>
      <c r="F24" s="616">
        <v>1</v>
      </c>
      <c r="G24" s="461">
        <f t="shared" si="2"/>
        <v>0</v>
      </c>
      <c r="H24" s="616">
        <v>0</v>
      </c>
      <c r="I24" s="461">
        <f t="shared" si="3"/>
        <v>0</v>
      </c>
      <c r="J24" s="616">
        <v>0</v>
      </c>
      <c r="K24" s="461">
        <f t="shared" si="4"/>
        <v>0</v>
      </c>
      <c r="L24" s="616">
        <v>0</v>
      </c>
      <c r="M24" s="461">
        <f t="shared" si="5"/>
        <v>0</v>
      </c>
      <c r="N24" s="616">
        <v>0</v>
      </c>
      <c r="O24" s="462">
        <f>ORÇAMENTO!I26</f>
        <v>679.88</v>
      </c>
      <c r="P24" s="618">
        <f t="shared" si="0"/>
        <v>0.002462636210988534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customHeight="1">
      <c r="A25" s="446" t="str">
        <f>ORÇAMENTO!A27</f>
        <v>2.12</v>
      </c>
      <c r="B25" s="988" t="str">
        <f>ORÇAMENTO!C27</f>
        <v>Poço de visita Ø 40/60 cm - simples</v>
      </c>
      <c r="C25" s="989"/>
      <c r="D25" s="989"/>
      <c r="E25" s="461">
        <f t="shared" si="1"/>
        <v>4329.08</v>
      </c>
      <c r="F25" s="616">
        <v>1</v>
      </c>
      <c r="G25" s="461">
        <f t="shared" si="2"/>
        <v>0</v>
      </c>
      <c r="H25" s="616">
        <v>0</v>
      </c>
      <c r="I25" s="461">
        <f t="shared" si="3"/>
        <v>0</v>
      </c>
      <c r="J25" s="616">
        <v>0</v>
      </c>
      <c r="K25" s="461">
        <f t="shared" si="4"/>
        <v>0</v>
      </c>
      <c r="L25" s="616">
        <v>0</v>
      </c>
      <c r="M25" s="461">
        <f t="shared" si="5"/>
        <v>0</v>
      </c>
      <c r="N25" s="616">
        <v>0</v>
      </c>
      <c r="O25" s="462">
        <f>ORÇAMENTO!I27</f>
        <v>4329.08</v>
      </c>
      <c r="P25" s="618">
        <f t="shared" si="0"/>
        <v>0.01568063359455528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 customHeight="1">
      <c r="A26" s="446" t="str">
        <f>ORÇAMENTO!A28</f>
        <v>2.13</v>
      </c>
      <c r="B26" s="988" t="str">
        <f>ORÇAMENTO!C28</f>
        <v>Caixa de ligação Ø 40/60 cm - simples</v>
      </c>
      <c r="C26" s="989"/>
      <c r="D26" s="989"/>
      <c r="E26" s="461">
        <f t="shared" si="1"/>
        <v>2736.18</v>
      </c>
      <c r="F26" s="616">
        <v>1</v>
      </c>
      <c r="G26" s="461">
        <f t="shared" si="2"/>
        <v>0</v>
      </c>
      <c r="H26" s="616">
        <v>0</v>
      </c>
      <c r="I26" s="461">
        <f t="shared" si="3"/>
        <v>0</v>
      </c>
      <c r="J26" s="616">
        <v>0</v>
      </c>
      <c r="K26" s="461">
        <f t="shared" si="4"/>
        <v>0</v>
      </c>
      <c r="L26" s="616">
        <v>0</v>
      </c>
      <c r="M26" s="461">
        <f t="shared" si="5"/>
        <v>0</v>
      </c>
      <c r="N26" s="616">
        <v>0</v>
      </c>
      <c r="O26" s="462">
        <f>ORÇAMENTO!I28</f>
        <v>2736.18</v>
      </c>
      <c r="P26" s="618">
        <f t="shared" si="0"/>
        <v>0.009910890080282708</v>
      </c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 customHeight="1">
      <c r="A27" s="446" t="str">
        <f>ORÇAMENTO!A29</f>
        <v>2.14</v>
      </c>
      <c r="B27" s="988" t="str">
        <f>ORÇAMENTO!C29</f>
        <v>Boca de lobo</v>
      </c>
      <c r="C27" s="989"/>
      <c r="D27" s="989"/>
      <c r="E27" s="461">
        <f t="shared" si="1"/>
        <v>10012.52</v>
      </c>
      <c r="F27" s="616">
        <v>1</v>
      </c>
      <c r="G27" s="461">
        <f t="shared" si="2"/>
        <v>0</v>
      </c>
      <c r="H27" s="616">
        <v>0</v>
      </c>
      <c r="I27" s="461">
        <f t="shared" si="3"/>
        <v>0</v>
      </c>
      <c r="J27" s="616">
        <v>0</v>
      </c>
      <c r="K27" s="461">
        <f t="shared" si="4"/>
        <v>0</v>
      </c>
      <c r="L27" s="616">
        <v>0</v>
      </c>
      <c r="M27" s="461">
        <f t="shared" si="5"/>
        <v>0</v>
      </c>
      <c r="N27" s="616">
        <v>0</v>
      </c>
      <c r="O27" s="462">
        <f>ORÇAMENTO!I29</f>
        <v>10012.52</v>
      </c>
      <c r="P27" s="618">
        <f t="shared" si="0"/>
        <v>0.036266979930644996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3.5" customHeight="1">
      <c r="A28" s="446" t="str">
        <f>ORÇAMENTO!A30</f>
        <v>2.15</v>
      </c>
      <c r="B28" s="988" t="str">
        <f>ORÇAMENTO!C30</f>
        <v>Boca de bueiro Ø 60 cm - simples</v>
      </c>
      <c r="C28" s="989"/>
      <c r="D28" s="989"/>
      <c r="E28" s="461">
        <f t="shared" si="1"/>
        <v>627.21</v>
      </c>
      <c r="F28" s="616">
        <v>1</v>
      </c>
      <c r="G28" s="461">
        <f t="shared" si="2"/>
        <v>0</v>
      </c>
      <c r="H28" s="616">
        <v>0</v>
      </c>
      <c r="I28" s="461">
        <f t="shared" si="3"/>
        <v>0</v>
      </c>
      <c r="J28" s="616">
        <v>0</v>
      </c>
      <c r="K28" s="461">
        <f t="shared" si="4"/>
        <v>0</v>
      </c>
      <c r="L28" s="616">
        <v>0</v>
      </c>
      <c r="M28" s="461">
        <f t="shared" si="5"/>
        <v>0</v>
      </c>
      <c r="N28" s="616">
        <v>0</v>
      </c>
      <c r="O28" s="462">
        <f>ORÇAMENTO!I30</f>
        <v>627.21</v>
      </c>
      <c r="P28" s="618">
        <f t="shared" si="0"/>
        <v>0.002271856883411953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3.5" customHeight="1" thickBot="1">
      <c r="A29" s="553"/>
      <c r="B29" s="984"/>
      <c r="C29" s="985"/>
      <c r="D29" s="985"/>
      <c r="E29" s="596"/>
      <c r="F29" s="714"/>
      <c r="G29" s="596"/>
      <c r="H29" s="714"/>
      <c r="I29" s="596"/>
      <c r="J29" s="714"/>
      <c r="K29" s="596"/>
      <c r="L29" s="714"/>
      <c r="M29" s="596"/>
      <c r="N29" s="714"/>
      <c r="O29" s="600"/>
      <c r="P29" s="715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3.5" customHeight="1">
      <c r="A30" s="537" t="str">
        <f>ORÇAMENTO!A32</f>
        <v>3.0</v>
      </c>
      <c r="B30" s="986" t="str">
        <f>ORÇAMENTO!C32</f>
        <v>PAVIMENTAÇÃO COM LAJOTAS SEXTAVADAS</v>
      </c>
      <c r="C30" s="987"/>
      <c r="D30" s="987"/>
      <c r="E30" s="621">
        <f>SUM(E31:E33)</f>
        <v>152224.38</v>
      </c>
      <c r="F30" s="620">
        <f>E30/$O$30</f>
        <v>1</v>
      </c>
      <c r="G30" s="621">
        <f>SUM(G31:G33)</f>
        <v>0</v>
      </c>
      <c r="H30" s="620">
        <f>G30/$O$30</f>
        <v>0</v>
      </c>
      <c r="I30" s="621">
        <f>SUM(I31:I33)</f>
        <v>0</v>
      </c>
      <c r="J30" s="620">
        <f>I30/$O$30</f>
        <v>0</v>
      </c>
      <c r="K30" s="621">
        <f>SUM(K31:K33)</f>
        <v>0</v>
      </c>
      <c r="L30" s="620">
        <f>K30/$O$30</f>
        <v>0</v>
      </c>
      <c r="M30" s="621">
        <f>SUM(M31:M33)</f>
        <v>0</v>
      </c>
      <c r="N30" s="620">
        <f>M30/$O$30</f>
        <v>0</v>
      </c>
      <c r="O30" s="612">
        <f>SUM(O31:O33)</f>
        <v>152224.38</v>
      </c>
      <c r="P30" s="614">
        <f>(O30/$O$56)</f>
        <v>0.5513815237737231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16" ht="13.5" customHeight="1">
      <c r="A31" s="446" t="str">
        <f>ORÇAMENTO!A33</f>
        <v>3.1</v>
      </c>
      <c r="B31" s="988" t="str">
        <f>ORÇAMENTO!C33</f>
        <v>Regularização e compactação de até 20 cm</v>
      </c>
      <c r="C31" s="989"/>
      <c r="D31" s="989"/>
      <c r="E31" s="461">
        <f>F31*O31</f>
        <v>3867.16</v>
      </c>
      <c r="F31" s="616">
        <v>1</v>
      </c>
      <c r="G31" s="461">
        <f>H31*O31</f>
        <v>0</v>
      </c>
      <c r="H31" s="616">
        <v>0</v>
      </c>
      <c r="I31" s="461">
        <f>J31*O31</f>
        <v>0</v>
      </c>
      <c r="J31" s="616">
        <v>0</v>
      </c>
      <c r="K31" s="461">
        <f>L31*O31</f>
        <v>0</v>
      </c>
      <c r="L31" s="616">
        <v>0</v>
      </c>
      <c r="M31" s="461">
        <f>N31*O31</f>
        <v>0</v>
      </c>
      <c r="N31" s="616">
        <v>0</v>
      </c>
      <c r="O31" s="462">
        <f>ORÇAMENTO!I33</f>
        <v>3867.16</v>
      </c>
      <c r="P31" s="619">
        <f>(O31/$O$56)</f>
        <v>0.014007484040840177</v>
      </c>
    </row>
    <row r="32" spans="1:16" ht="13.5" customHeight="1">
      <c r="A32" s="446" t="str">
        <f>ORÇAMENTO!A34</f>
        <v>3.2</v>
      </c>
      <c r="B32" s="988" t="str">
        <f>ORÇAMENTO!C34</f>
        <v>Colocação de meio-fio externo (12x15x30x80) - incluindo rejunte e reaterro - fck=25Mpa</v>
      </c>
      <c r="C32" s="989"/>
      <c r="D32" s="989"/>
      <c r="E32" s="461">
        <f>F32*O32</f>
        <v>20763.44</v>
      </c>
      <c r="F32" s="616">
        <v>1</v>
      </c>
      <c r="G32" s="461">
        <f>H32*O32</f>
        <v>0</v>
      </c>
      <c r="H32" s="616">
        <v>0</v>
      </c>
      <c r="I32" s="461">
        <f>J32*O32</f>
        <v>0</v>
      </c>
      <c r="J32" s="616">
        <v>0</v>
      </c>
      <c r="K32" s="461">
        <f>L32*O32</f>
        <v>0</v>
      </c>
      <c r="L32" s="616">
        <v>0</v>
      </c>
      <c r="M32" s="461">
        <f>N32*O32</f>
        <v>0</v>
      </c>
      <c r="N32" s="616">
        <v>0</v>
      </c>
      <c r="O32" s="462">
        <f>ORÇAMENTO!I34</f>
        <v>20763.44</v>
      </c>
      <c r="P32" s="619">
        <f>(O32/$O$56)</f>
        <v>0.07520856505366795</v>
      </c>
    </row>
    <row r="33" spans="1:16" ht="13.5" customHeight="1">
      <c r="A33" s="446" t="str">
        <f>ORÇAMENTO!A35</f>
        <v>3.3</v>
      </c>
      <c r="B33" s="988" t="str">
        <f>ORÇAMENTO!C35</f>
        <v>Pavimentação com lajotas sextavadas - (30 cm x 30 cm x 8 cm) - fck=35 </v>
      </c>
      <c r="C33" s="989"/>
      <c r="D33" s="989"/>
      <c r="E33" s="461">
        <f>F33*O33</f>
        <v>127593.78</v>
      </c>
      <c r="F33" s="616">
        <v>1</v>
      </c>
      <c r="G33" s="461">
        <f>H33*O33</f>
        <v>0</v>
      </c>
      <c r="H33" s="616">
        <v>0</v>
      </c>
      <c r="I33" s="461">
        <f>J33*O33</f>
        <v>0</v>
      </c>
      <c r="J33" s="616">
        <v>0</v>
      </c>
      <c r="K33" s="461">
        <f>L33*O33</f>
        <v>0</v>
      </c>
      <c r="L33" s="616">
        <v>0</v>
      </c>
      <c r="M33" s="461">
        <f>N33*O33</f>
        <v>0</v>
      </c>
      <c r="N33" s="616">
        <v>0</v>
      </c>
      <c r="O33" s="462">
        <f>ORÇAMENTO!I35</f>
        <v>127593.78</v>
      </c>
      <c r="P33" s="619">
        <f>(O33/$O$56)</f>
        <v>0.46216547467921487</v>
      </c>
    </row>
    <row r="34" spans="1:16" ht="13.5" customHeight="1" thickBot="1">
      <c r="A34" s="544"/>
      <c r="B34" s="1012"/>
      <c r="C34" s="1012"/>
      <c r="D34" s="1012"/>
      <c r="E34" s="593"/>
      <c r="F34" s="594"/>
      <c r="G34" s="593"/>
      <c r="H34" s="595"/>
      <c r="I34" s="593"/>
      <c r="J34" s="595"/>
      <c r="K34" s="593"/>
      <c r="L34" s="595"/>
      <c r="M34" s="593"/>
      <c r="N34" s="594"/>
      <c r="O34" s="465"/>
      <c r="P34" s="466"/>
    </row>
    <row r="35" spans="1:16" ht="13.5" customHeight="1">
      <c r="A35" s="537" t="str">
        <f>ORÇAMENTO!A37</f>
        <v>4.0</v>
      </c>
      <c r="B35" s="981" t="str">
        <f>ORÇAMENTO!C37</f>
        <v>PAVIMENTAÇÃO PASSEIO</v>
      </c>
      <c r="C35" s="981"/>
      <c r="D35" s="981"/>
      <c r="E35" s="621">
        <f>SUM(E36:E41)</f>
        <v>55832.27999999999</v>
      </c>
      <c r="F35" s="620">
        <f>E35/$O$35</f>
        <v>1</v>
      </c>
      <c r="G35" s="621">
        <f>SUM(G36:G40)</f>
        <v>0</v>
      </c>
      <c r="H35" s="620">
        <f>G35/$O$35</f>
        <v>0</v>
      </c>
      <c r="I35" s="621">
        <f>SUM(I36:I40)</f>
        <v>0</v>
      </c>
      <c r="J35" s="620">
        <f>I35/$O$35</f>
        <v>0</v>
      </c>
      <c r="K35" s="621">
        <f>SUM(K36:K40)</f>
        <v>0</v>
      </c>
      <c r="L35" s="620">
        <f>K35/$O$35</f>
        <v>0</v>
      </c>
      <c r="M35" s="621">
        <f>SUM(M36:M40)</f>
        <v>0</v>
      </c>
      <c r="N35" s="620">
        <f>M35/$O$35</f>
        <v>0</v>
      </c>
      <c r="O35" s="612">
        <f>SUM(O36:O41)</f>
        <v>55832.27999999999</v>
      </c>
      <c r="P35" s="614">
        <f aca="true" t="shared" si="6" ref="P35:P41">(O35/$O$56)</f>
        <v>0.20223362133030962</v>
      </c>
    </row>
    <row r="36" spans="1:16" ht="13.5" customHeight="1">
      <c r="A36" s="446" t="str">
        <f>ORÇAMENTO!A38</f>
        <v>4.1</v>
      </c>
      <c r="B36" s="979" t="str">
        <f>ORÇAMENTO!C38</f>
        <v>Material para aterro/reaterro (barro, argila ou saibro) - com transporte até 10 km</v>
      </c>
      <c r="C36" s="979"/>
      <c r="D36" s="979"/>
      <c r="E36" s="461">
        <f aca="true" t="shared" si="7" ref="E36:E41">F36*O36</f>
        <v>1196.52</v>
      </c>
      <c r="F36" s="616">
        <v>1</v>
      </c>
      <c r="G36" s="461">
        <f aca="true" t="shared" si="8" ref="G36:G41">H36*O36</f>
        <v>0</v>
      </c>
      <c r="H36" s="616">
        <v>0</v>
      </c>
      <c r="I36" s="461">
        <f aca="true" t="shared" si="9" ref="I36:I41">J36*O36</f>
        <v>0</v>
      </c>
      <c r="J36" s="616">
        <v>0</v>
      </c>
      <c r="K36" s="461">
        <f aca="true" t="shared" si="10" ref="K36:K41">L36*O36</f>
        <v>0</v>
      </c>
      <c r="L36" s="616">
        <v>0</v>
      </c>
      <c r="M36" s="461">
        <f aca="true" t="shared" si="11" ref="M36:M41">N36*O36</f>
        <v>0</v>
      </c>
      <c r="N36" s="616">
        <v>0</v>
      </c>
      <c r="O36" s="462">
        <f>ORÇAMENTO!I38</f>
        <v>1196.52</v>
      </c>
      <c r="P36" s="618">
        <f t="shared" si="6"/>
        <v>0.004333990526522329</v>
      </c>
    </row>
    <row r="37" spans="1:16" ht="13.5" customHeight="1">
      <c r="A37" s="446" t="str">
        <f>ORÇAMENTO!A39</f>
        <v>4.2</v>
      </c>
      <c r="B37" s="979" t="str">
        <f>ORÇAMENTO!C39</f>
        <v>Regularização e compactação manual de terreno com soquete</v>
      </c>
      <c r="C37" s="979"/>
      <c r="D37" s="979"/>
      <c r="E37" s="461">
        <f>F37*O37</f>
        <v>3796.52</v>
      </c>
      <c r="F37" s="616">
        <v>1</v>
      </c>
      <c r="G37" s="461">
        <f>H37*O37</f>
        <v>0</v>
      </c>
      <c r="H37" s="616">
        <v>0</v>
      </c>
      <c r="I37" s="461">
        <f>J37*O37</f>
        <v>0</v>
      </c>
      <c r="J37" s="616">
        <v>0</v>
      </c>
      <c r="K37" s="461">
        <f>L37*O37</f>
        <v>0</v>
      </c>
      <c r="L37" s="616">
        <v>0</v>
      </c>
      <c r="M37" s="461">
        <f>N37*O37</f>
        <v>0</v>
      </c>
      <c r="N37" s="616">
        <v>0</v>
      </c>
      <c r="O37" s="462">
        <f>ORÇAMENTO!I39</f>
        <v>3796.52</v>
      </c>
      <c r="P37" s="618">
        <f t="shared" si="6"/>
        <v>0.013751614443346164</v>
      </c>
    </row>
    <row r="38" spans="1:16" ht="13.5" customHeight="1">
      <c r="A38" s="446" t="str">
        <f>ORÇAMENTO!A40</f>
        <v>4.3</v>
      </c>
      <c r="B38" s="979" t="str">
        <f>ORÇAMENTO!C40</f>
        <v>Meio-fio interno 15 x 30 x 80 cm - incluindo rejunte e reaterro - fck=25 MPa</v>
      </c>
      <c r="C38" s="979"/>
      <c r="D38" s="979"/>
      <c r="E38" s="461">
        <f t="shared" si="7"/>
        <v>2102.16</v>
      </c>
      <c r="F38" s="616">
        <v>1</v>
      </c>
      <c r="G38" s="461">
        <f t="shared" si="8"/>
        <v>0</v>
      </c>
      <c r="H38" s="616">
        <v>0</v>
      </c>
      <c r="I38" s="461">
        <f t="shared" si="9"/>
        <v>0</v>
      </c>
      <c r="J38" s="616">
        <v>0</v>
      </c>
      <c r="K38" s="461">
        <f t="shared" si="10"/>
        <v>0</v>
      </c>
      <c r="L38" s="616">
        <v>0</v>
      </c>
      <c r="M38" s="461">
        <f t="shared" si="11"/>
        <v>0</v>
      </c>
      <c r="N38" s="616">
        <v>0</v>
      </c>
      <c r="O38" s="462">
        <f>ORÇAMENTO!I40</f>
        <v>2102.16</v>
      </c>
      <c r="P38" s="618">
        <f t="shared" si="6"/>
        <v>0.0076143662665347665</v>
      </c>
    </row>
    <row r="39" spans="1:16" ht="13.5" customHeight="1">
      <c r="A39" s="446" t="str">
        <f>ORÇAMENTO!A41</f>
        <v>4.4</v>
      </c>
      <c r="B39" s="979" t="str">
        <f>ORÇAMENTO!C41</f>
        <v>Pavimento intertravado paver holand cinza 20 x 10 x 6 cm fck=35 MPa</v>
      </c>
      <c r="C39" s="979"/>
      <c r="D39" s="979"/>
      <c r="E39" s="461">
        <f t="shared" si="7"/>
        <v>40615.71</v>
      </c>
      <c r="F39" s="616">
        <v>1</v>
      </c>
      <c r="G39" s="461">
        <f t="shared" si="8"/>
        <v>0</v>
      </c>
      <c r="H39" s="616">
        <v>0</v>
      </c>
      <c r="I39" s="461">
        <f t="shared" si="9"/>
        <v>0</v>
      </c>
      <c r="J39" s="616">
        <v>0</v>
      </c>
      <c r="K39" s="461">
        <f t="shared" si="10"/>
        <v>0</v>
      </c>
      <c r="L39" s="616">
        <v>0</v>
      </c>
      <c r="M39" s="461">
        <f t="shared" si="11"/>
        <v>0</v>
      </c>
      <c r="N39" s="616">
        <v>0</v>
      </c>
      <c r="O39" s="462">
        <f>ORÇAMENTO!I41</f>
        <v>40615.71</v>
      </c>
      <c r="P39" s="618">
        <f t="shared" si="6"/>
        <v>0.147116723805685</v>
      </c>
    </row>
    <row r="40" spans="1:16" ht="13.5" customHeight="1">
      <c r="A40" s="446" t="str">
        <f>ORÇAMENTO!A42</f>
        <v>4.5</v>
      </c>
      <c r="B40" s="979" t="str">
        <f>ORÇAMENTO!C42</f>
        <v>Sinalização tátil direcional 20 x 20 x 6 cm fck=35 MPa</v>
      </c>
      <c r="C40" s="979"/>
      <c r="D40" s="979"/>
      <c r="E40" s="461">
        <f t="shared" si="7"/>
        <v>7702.67</v>
      </c>
      <c r="F40" s="616">
        <v>1</v>
      </c>
      <c r="G40" s="461">
        <f t="shared" si="8"/>
        <v>0</v>
      </c>
      <c r="H40" s="616">
        <v>0</v>
      </c>
      <c r="I40" s="461">
        <f t="shared" si="9"/>
        <v>0</v>
      </c>
      <c r="J40" s="616">
        <v>0</v>
      </c>
      <c r="K40" s="461">
        <f t="shared" si="10"/>
        <v>0</v>
      </c>
      <c r="L40" s="616">
        <v>0</v>
      </c>
      <c r="M40" s="461">
        <f t="shared" si="11"/>
        <v>0</v>
      </c>
      <c r="N40" s="616">
        <v>0</v>
      </c>
      <c r="O40" s="462">
        <f>ORÇAMENTO!I42</f>
        <v>7702.67</v>
      </c>
      <c r="P40" s="618">
        <f t="shared" si="6"/>
        <v>0.02790032662130825</v>
      </c>
    </row>
    <row r="41" spans="1:16" ht="13.5" customHeight="1">
      <c r="A41" s="446" t="str">
        <f>ORÇAMENTO!A43</f>
        <v>4.6</v>
      </c>
      <c r="B41" s="979" t="str">
        <f>ORÇAMENTO!C43</f>
        <v>Sinalização tátil de alerta 20 x 20 x 6 cm fck=35 MPa</v>
      </c>
      <c r="C41" s="979"/>
      <c r="D41" s="979"/>
      <c r="E41" s="461">
        <f t="shared" si="7"/>
        <v>418.7</v>
      </c>
      <c r="F41" s="616">
        <v>1</v>
      </c>
      <c r="G41" s="461">
        <f t="shared" si="8"/>
        <v>0</v>
      </c>
      <c r="H41" s="616">
        <v>0</v>
      </c>
      <c r="I41" s="461">
        <f t="shared" si="9"/>
        <v>0</v>
      </c>
      <c r="J41" s="616">
        <v>0</v>
      </c>
      <c r="K41" s="461">
        <f t="shared" si="10"/>
        <v>0</v>
      </c>
      <c r="L41" s="616">
        <v>0</v>
      </c>
      <c r="M41" s="461">
        <f t="shared" si="11"/>
        <v>0</v>
      </c>
      <c r="N41" s="616">
        <v>0</v>
      </c>
      <c r="O41" s="462">
        <f>ORÇAMENTO!I43</f>
        <v>418.7</v>
      </c>
      <c r="P41" s="618">
        <f t="shared" si="6"/>
        <v>0.0015165996669131306</v>
      </c>
    </row>
    <row r="42" spans="1:16" ht="13.5" customHeight="1" thickBot="1">
      <c r="A42" s="553"/>
      <c r="B42" s="980"/>
      <c r="C42" s="980"/>
      <c r="D42" s="980"/>
      <c r="E42" s="596"/>
      <c r="F42" s="597"/>
      <c r="G42" s="596"/>
      <c r="H42" s="598"/>
      <c r="I42" s="596"/>
      <c r="J42" s="598"/>
      <c r="K42" s="596"/>
      <c r="L42" s="598"/>
      <c r="M42" s="596"/>
      <c r="N42" s="597"/>
      <c r="O42" s="600"/>
      <c r="P42" s="599"/>
    </row>
    <row r="43" spans="1:16" ht="13.5" customHeight="1">
      <c r="A43" s="537" t="str">
        <f>ORÇAMENTO!A45</f>
        <v>5.0</v>
      </c>
      <c r="B43" s="981" t="str">
        <f>ORÇAMENTO!C45</f>
        <v>RAMPA ACESSO PASSEIO DEFICIENTE FÍSICO</v>
      </c>
      <c r="C43" s="981"/>
      <c r="D43" s="981"/>
      <c r="E43" s="621">
        <f>SUM(E44:E46)</f>
        <v>1362.9499999999998</v>
      </c>
      <c r="F43" s="620">
        <f>E43/$O$43</f>
        <v>1</v>
      </c>
      <c r="G43" s="621">
        <f>SUM(G44:G46)</f>
        <v>0</v>
      </c>
      <c r="H43" s="620">
        <f>G43/$O$43</f>
        <v>0</v>
      </c>
      <c r="I43" s="621">
        <f>SUM(I44:I46)</f>
        <v>0</v>
      </c>
      <c r="J43" s="620">
        <f>I43/$O$43</f>
        <v>0</v>
      </c>
      <c r="K43" s="621">
        <f>SUM(K44:K46)</f>
        <v>0</v>
      </c>
      <c r="L43" s="620">
        <f>K43/$O$43</f>
        <v>0</v>
      </c>
      <c r="M43" s="621">
        <f>SUM(M44:M46)</f>
        <v>0</v>
      </c>
      <c r="N43" s="620">
        <f>M43/$O$43</f>
        <v>0</v>
      </c>
      <c r="O43" s="612">
        <f>SUM(O44:O46)</f>
        <v>1362.9499999999998</v>
      </c>
      <c r="P43" s="614">
        <f>(O43/$O$56)</f>
        <v>0.0049368271220904016</v>
      </c>
    </row>
    <row r="44" spans="1:16" ht="13.5" customHeight="1">
      <c r="A44" s="446" t="str">
        <f>ORÇAMENTO!A46</f>
        <v>5.1</v>
      </c>
      <c r="B44" s="979" t="str">
        <f>ORÇAMENTO!C46</f>
        <v>Concreto simples h=7 cm, virado em betoneira fck=20 MPa</v>
      </c>
      <c r="C44" s="979"/>
      <c r="D44" s="979"/>
      <c r="E44" s="461">
        <f>F44*O44</f>
        <v>1326</v>
      </c>
      <c r="F44" s="616">
        <v>1</v>
      </c>
      <c r="G44" s="461">
        <f>H44*O44</f>
        <v>0</v>
      </c>
      <c r="H44" s="616">
        <v>0</v>
      </c>
      <c r="I44" s="461">
        <f>J44*O44</f>
        <v>0</v>
      </c>
      <c r="J44" s="616">
        <v>0</v>
      </c>
      <c r="K44" s="461">
        <f>L44*O44</f>
        <v>0</v>
      </c>
      <c r="L44" s="616">
        <v>0</v>
      </c>
      <c r="M44" s="461">
        <f>N44*O44</f>
        <v>0</v>
      </c>
      <c r="N44" s="616">
        <v>0</v>
      </c>
      <c r="O44" s="462">
        <f>ORÇAMENTO!I46</f>
        <v>1326</v>
      </c>
      <c r="P44" s="618">
        <f>(O44/$O$56)</f>
        <v>0.004802988197580156</v>
      </c>
    </row>
    <row r="45" spans="1:16" ht="13.5" customHeight="1">
      <c r="A45" s="446" t="str">
        <f>ORÇAMENTO!A47</f>
        <v>5.2</v>
      </c>
      <c r="B45" s="979" t="str">
        <f>ORÇAMENTO!C47</f>
        <v>Pintura símbolo Deficiente Físico - Cor fundo azul 60 x 60 cm</v>
      </c>
      <c r="C45" s="979"/>
      <c r="D45" s="979"/>
      <c r="E45" s="461">
        <f>F45*O45</f>
        <v>32.6</v>
      </c>
      <c r="F45" s="616">
        <v>1</v>
      </c>
      <c r="G45" s="461">
        <f>H45*O45</f>
        <v>0</v>
      </c>
      <c r="H45" s="616">
        <v>0</v>
      </c>
      <c r="I45" s="461">
        <f>J45*O45</f>
        <v>0</v>
      </c>
      <c r="J45" s="616">
        <v>0</v>
      </c>
      <c r="K45" s="461">
        <f>L45*O45</f>
        <v>0</v>
      </c>
      <c r="L45" s="616">
        <v>0</v>
      </c>
      <c r="M45" s="461">
        <f>N45*O45</f>
        <v>0</v>
      </c>
      <c r="N45" s="616">
        <v>0</v>
      </c>
      <c r="O45" s="462">
        <f>ORÇAMENTO!I47</f>
        <v>32.6</v>
      </c>
      <c r="P45" s="618">
        <f>(O45/$O$56)</f>
        <v>0.00011808251526479117</v>
      </c>
    </row>
    <row r="46" spans="1:16" ht="13.5" customHeight="1">
      <c r="A46" s="446" t="str">
        <f>ORÇAMENTO!A48</f>
        <v>5.3</v>
      </c>
      <c r="B46" s="979" t="str">
        <f>ORÇAMENTO!C48</f>
        <v>Pintura símbolo Deficiente Físico - Pictograma cor branca</v>
      </c>
      <c r="C46" s="979"/>
      <c r="D46" s="979"/>
      <c r="E46" s="461">
        <f>F46*O46</f>
        <v>4.35</v>
      </c>
      <c r="F46" s="616">
        <v>1</v>
      </c>
      <c r="G46" s="461">
        <f>H46*O46</f>
        <v>0</v>
      </c>
      <c r="H46" s="616">
        <v>0</v>
      </c>
      <c r="I46" s="461">
        <f>J46*O46</f>
        <v>0</v>
      </c>
      <c r="J46" s="616">
        <v>0</v>
      </c>
      <c r="K46" s="461">
        <f>L46*O46</f>
        <v>0</v>
      </c>
      <c r="L46" s="616">
        <v>0</v>
      </c>
      <c r="M46" s="461">
        <f>N46*O46</f>
        <v>0</v>
      </c>
      <c r="N46" s="616">
        <v>0</v>
      </c>
      <c r="O46" s="462">
        <f>ORÇAMENTO!I48</f>
        <v>4.35</v>
      </c>
      <c r="P46" s="618">
        <f>(O46/$O$56)</f>
        <v>1.5756409245455262E-05</v>
      </c>
    </row>
    <row r="47" spans="1:16" ht="13.5" customHeight="1" thickBot="1">
      <c r="A47" s="553"/>
      <c r="B47" s="980"/>
      <c r="C47" s="980"/>
      <c r="D47" s="980"/>
      <c r="E47" s="596"/>
      <c r="F47" s="597"/>
      <c r="G47" s="596"/>
      <c r="H47" s="598"/>
      <c r="I47" s="596"/>
      <c r="J47" s="598"/>
      <c r="K47" s="596"/>
      <c r="L47" s="598"/>
      <c r="M47" s="596"/>
      <c r="N47" s="597"/>
      <c r="O47" s="600"/>
      <c r="P47" s="599"/>
    </row>
    <row r="48" spans="1:16" ht="13.5" customHeight="1">
      <c r="A48" s="537" t="str">
        <f>ORÇAMENTO!A50</f>
        <v>6.0</v>
      </c>
      <c r="B48" s="981" t="str">
        <f>ORÇAMENTO!C50</f>
        <v>SINALIZAÇÃO</v>
      </c>
      <c r="C48" s="981"/>
      <c r="D48" s="981"/>
      <c r="E48" s="621">
        <f>SUM(E49:E54)</f>
        <v>2797.3599999999997</v>
      </c>
      <c r="F48" s="620">
        <f>E48/$O$48</f>
        <v>1</v>
      </c>
      <c r="G48" s="621">
        <f>SUM(G49:G54)</f>
        <v>0</v>
      </c>
      <c r="H48" s="620">
        <f>G48/$O$48</f>
        <v>0</v>
      </c>
      <c r="I48" s="621">
        <f>SUM(I49:I54)</f>
        <v>0</v>
      </c>
      <c r="J48" s="620">
        <f>I48/$O$48</f>
        <v>0</v>
      </c>
      <c r="K48" s="621">
        <f>SUM(K49:K54)</f>
        <v>0</v>
      </c>
      <c r="L48" s="620">
        <f>K48/$O$48</f>
        <v>0</v>
      </c>
      <c r="M48" s="621">
        <f>SUM(M49:M54)</f>
        <v>0</v>
      </c>
      <c r="N48" s="620">
        <f>M48/$O$48</f>
        <v>0</v>
      </c>
      <c r="O48" s="612">
        <f>SUM(O49:O54)</f>
        <v>2797.3599999999997</v>
      </c>
      <c r="P48" s="614">
        <f aca="true" t="shared" si="12" ref="P48:P54">(O48/$O$56)</f>
        <v>0.010132494015371661</v>
      </c>
    </row>
    <row r="49" spans="1:16" ht="13.5" customHeight="1">
      <c r="A49" s="446" t="str">
        <f>ORÇAMENTO!A51</f>
        <v>6.1</v>
      </c>
      <c r="B49" s="979" t="str">
        <f>ORÇAMENTO!C51</f>
        <v>Pintura faixa de travessia de pedestres zebrada - FTP-1 cor branca</v>
      </c>
      <c r="C49" s="979"/>
      <c r="D49" s="979"/>
      <c r="E49" s="461">
        <f aca="true" t="shared" si="13" ref="E49:E54">F49*O49</f>
        <v>547.6</v>
      </c>
      <c r="F49" s="616">
        <v>1</v>
      </c>
      <c r="G49" s="461">
        <f aca="true" t="shared" si="14" ref="G49:G54">H49*O49</f>
        <v>0</v>
      </c>
      <c r="H49" s="616">
        <v>0</v>
      </c>
      <c r="I49" s="461">
        <f aca="true" t="shared" si="15" ref="I49:I54">J49*O49</f>
        <v>0</v>
      </c>
      <c r="J49" s="616">
        <v>0</v>
      </c>
      <c r="K49" s="461">
        <f aca="true" t="shared" si="16" ref="K49:K54">L49*O49</f>
        <v>0</v>
      </c>
      <c r="L49" s="616">
        <v>0</v>
      </c>
      <c r="M49" s="461">
        <f aca="true" t="shared" si="17" ref="M49:M54">N49*O49</f>
        <v>0</v>
      </c>
      <c r="N49" s="616">
        <v>0</v>
      </c>
      <c r="O49" s="462">
        <f>ORÇAMENTO!I51</f>
        <v>547.6</v>
      </c>
      <c r="P49" s="618">
        <f t="shared" si="12"/>
        <v>0.0019834964834048972</v>
      </c>
    </row>
    <row r="50" spans="1:16" ht="13.5" customHeight="1">
      <c r="A50" s="446" t="str">
        <f>ORÇAMENTO!A52</f>
        <v>6.2</v>
      </c>
      <c r="B50" s="979" t="str">
        <f>ORÇAMENTO!C52</f>
        <v>Placa de regulamentação R-1 - (Parada obrigatória)*</v>
      </c>
      <c r="C50" s="979"/>
      <c r="D50" s="979"/>
      <c r="E50" s="461">
        <f t="shared" si="13"/>
        <v>223.69</v>
      </c>
      <c r="F50" s="616">
        <v>1</v>
      </c>
      <c r="G50" s="461">
        <f t="shared" si="14"/>
        <v>0</v>
      </c>
      <c r="H50" s="616">
        <v>0</v>
      </c>
      <c r="I50" s="461">
        <f t="shared" si="15"/>
        <v>0</v>
      </c>
      <c r="J50" s="616">
        <v>0</v>
      </c>
      <c r="K50" s="461">
        <f t="shared" si="16"/>
        <v>0</v>
      </c>
      <c r="L50" s="616">
        <v>0</v>
      </c>
      <c r="M50" s="461">
        <f t="shared" si="17"/>
        <v>0</v>
      </c>
      <c r="N50" s="616">
        <v>0</v>
      </c>
      <c r="O50" s="462">
        <f>ORÇAMENTO!I52</f>
        <v>223.69</v>
      </c>
      <c r="P50" s="618">
        <f t="shared" si="12"/>
        <v>0.0008102416515208937</v>
      </c>
    </row>
    <row r="51" spans="1:16" ht="13.5" customHeight="1">
      <c r="A51" s="446" t="str">
        <f>ORÇAMENTO!A53</f>
        <v>6.3</v>
      </c>
      <c r="B51" s="979" t="str">
        <f>ORÇAMENTO!C53</f>
        <v>Placa regulamentadora R-19- (Velocidade maxima permitida)*</v>
      </c>
      <c r="C51" s="979"/>
      <c r="D51" s="979"/>
      <c r="E51" s="461">
        <f t="shared" si="13"/>
        <v>223.69</v>
      </c>
      <c r="F51" s="616">
        <v>1</v>
      </c>
      <c r="G51" s="461">
        <f t="shared" si="14"/>
        <v>0</v>
      </c>
      <c r="H51" s="616">
        <v>0</v>
      </c>
      <c r="I51" s="461">
        <f t="shared" si="15"/>
        <v>0</v>
      </c>
      <c r="J51" s="616">
        <v>0</v>
      </c>
      <c r="K51" s="461">
        <f t="shared" si="16"/>
        <v>0</v>
      </c>
      <c r="L51" s="616">
        <v>0</v>
      </c>
      <c r="M51" s="461">
        <f t="shared" si="17"/>
        <v>0</v>
      </c>
      <c r="N51" s="616">
        <v>0</v>
      </c>
      <c r="O51" s="462">
        <f>ORÇAMENTO!I53</f>
        <v>223.69</v>
      </c>
      <c r="P51" s="618">
        <f t="shared" si="12"/>
        <v>0.0008102416515208937</v>
      </c>
    </row>
    <row r="52" spans="1:16" ht="13.5" customHeight="1">
      <c r="A52" s="446" t="str">
        <f>ORÇAMENTO!A54</f>
        <v>6.4</v>
      </c>
      <c r="B52" s="979" t="str">
        <f>ORÇAMENTO!C54</f>
        <v>Placa de advertência A-32b - (Passagem sinalizada de pedestres)*</v>
      </c>
      <c r="C52" s="979"/>
      <c r="D52" s="979"/>
      <c r="E52" s="461">
        <f t="shared" si="13"/>
        <v>521.93</v>
      </c>
      <c r="F52" s="616">
        <v>1</v>
      </c>
      <c r="G52" s="461">
        <f t="shared" si="14"/>
        <v>0</v>
      </c>
      <c r="H52" s="616">
        <v>0</v>
      </c>
      <c r="I52" s="461">
        <f t="shared" si="15"/>
        <v>0</v>
      </c>
      <c r="J52" s="616">
        <v>0</v>
      </c>
      <c r="K52" s="461">
        <f t="shared" si="16"/>
        <v>0</v>
      </c>
      <c r="L52" s="616">
        <v>0</v>
      </c>
      <c r="M52" s="461">
        <f t="shared" si="17"/>
        <v>0</v>
      </c>
      <c r="N52" s="616">
        <v>0</v>
      </c>
      <c r="O52" s="462">
        <f>ORÇAMENTO!I54</f>
        <v>521.93</v>
      </c>
      <c r="P52" s="618">
        <f t="shared" si="12"/>
        <v>0.001890515558041486</v>
      </c>
    </row>
    <row r="53" spans="1:16" ht="13.5" customHeight="1">
      <c r="A53" s="446" t="str">
        <f>ORÇAMENTO!A55</f>
        <v>6.5</v>
      </c>
      <c r="B53" s="979" t="str">
        <f>ORÇAMENTO!C55</f>
        <v>Tubo de aço galvanizado c/ costura DIN 2440/NBR 5580 classe media DN 1.1/4" (32mm) e=3,25mm - 3,14kg/m</v>
      </c>
      <c r="C53" s="979"/>
      <c r="D53" s="979"/>
      <c r="E53" s="461">
        <f t="shared" si="13"/>
        <v>783.43</v>
      </c>
      <c r="F53" s="616">
        <v>1</v>
      </c>
      <c r="G53" s="461">
        <f t="shared" si="14"/>
        <v>0</v>
      </c>
      <c r="H53" s="616">
        <v>0</v>
      </c>
      <c r="I53" s="461">
        <f t="shared" si="15"/>
        <v>0</v>
      </c>
      <c r="J53" s="616">
        <v>0</v>
      </c>
      <c r="K53" s="461">
        <f t="shared" si="16"/>
        <v>0</v>
      </c>
      <c r="L53" s="616">
        <v>0</v>
      </c>
      <c r="M53" s="461">
        <f t="shared" si="17"/>
        <v>0</v>
      </c>
      <c r="N53" s="616">
        <v>0</v>
      </c>
      <c r="O53" s="462">
        <f>ORÇAMENTO!I55</f>
        <v>783.43</v>
      </c>
      <c r="P53" s="618">
        <f>(O53/$O$56)</f>
        <v>0.002837711194291268</v>
      </c>
    </row>
    <row r="54" spans="1:16" ht="13.5" customHeight="1">
      <c r="A54" s="446" t="str">
        <f>ORÇAMENTO!A56</f>
        <v>6.6</v>
      </c>
      <c r="B54" s="979" t="str">
        <f>ORÇAMENTO!C56</f>
        <v>Placa de Identificação de rua</v>
      </c>
      <c r="C54" s="979"/>
      <c r="D54" s="979"/>
      <c r="E54" s="461">
        <f t="shared" si="13"/>
        <v>497.02</v>
      </c>
      <c r="F54" s="616">
        <v>1</v>
      </c>
      <c r="G54" s="461">
        <f t="shared" si="14"/>
        <v>0</v>
      </c>
      <c r="H54" s="616">
        <v>0</v>
      </c>
      <c r="I54" s="461">
        <f t="shared" si="15"/>
        <v>0</v>
      </c>
      <c r="J54" s="616">
        <v>0</v>
      </c>
      <c r="K54" s="461">
        <f t="shared" si="16"/>
        <v>0</v>
      </c>
      <c r="L54" s="616">
        <v>0</v>
      </c>
      <c r="M54" s="461">
        <f t="shared" si="17"/>
        <v>0</v>
      </c>
      <c r="N54" s="616">
        <v>0</v>
      </c>
      <c r="O54" s="462">
        <f>ORÇAMENTO!I56</f>
        <v>497.02</v>
      </c>
      <c r="P54" s="618">
        <f t="shared" si="12"/>
        <v>0.001800287476592224</v>
      </c>
    </row>
    <row r="55" spans="1:16" ht="13.5" customHeight="1" thickBot="1">
      <c r="A55" s="603"/>
      <c r="B55" s="1003"/>
      <c r="C55" s="1004"/>
      <c r="D55" s="1004"/>
      <c r="E55" s="593"/>
      <c r="F55" s="594"/>
      <c r="G55" s="593"/>
      <c r="H55" s="595"/>
      <c r="I55" s="593"/>
      <c r="J55" s="594"/>
      <c r="K55" s="593"/>
      <c r="L55" s="594"/>
      <c r="M55" s="593"/>
      <c r="N55" s="594"/>
      <c r="O55" s="465"/>
      <c r="P55" s="466"/>
    </row>
    <row r="56" spans="1:16" s="9" customFormat="1" ht="13.5" customHeight="1">
      <c r="A56" s="1005" t="s">
        <v>493</v>
      </c>
      <c r="B56" s="1006"/>
      <c r="C56" s="1006"/>
      <c r="D56" s="1006"/>
      <c r="E56" s="601">
        <f>E10+E13+E30+E35+E43+E48</f>
        <v>276078.13</v>
      </c>
      <c r="F56" s="602">
        <f>IF($O$56&lt;&gt;0,E56*100/$O$56,0)</f>
        <v>100</v>
      </c>
      <c r="G56" s="601">
        <f>G10+G13+G30+G35+G43+G48</f>
        <v>0</v>
      </c>
      <c r="H56" s="602">
        <f>IF($O$56&lt;&gt;0,G56*100/$O$56,0)</f>
        <v>0</v>
      </c>
      <c r="I56" s="601">
        <f>I10+I13+I30+I35+I43+I48</f>
        <v>0</v>
      </c>
      <c r="J56" s="602">
        <f>IF($O$56&lt;&gt;0,I56*100/$O$56,0)</f>
        <v>0</v>
      </c>
      <c r="K56" s="601">
        <f>K10+K13+K30+K35+K43+K48</f>
        <v>0</v>
      </c>
      <c r="L56" s="602">
        <f>IF($O$56&lt;&gt;0,K56*100/$O$56,0)</f>
        <v>0</v>
      </c>
      <c r="M56" s="601">
        <f>M10+M13+M30+M35+M43+M48</f>
        <v>0</v>
      </c>
      <c r="N56" s="601">
        <f>N10+N13+N30+N35+N43+N48</f>
        <v>0</v>
      </c>
      <c r="O56" s="613">
        <f>O10+O13+O30+O35+O43+O48</f>
        <v>276078.13</v>
      </c>
      <c r="P56" s="617">
        <f>P10+P30+P13+P35+P43+P48</f>
        <v>1</v>
      </c>
    </row>
    <row r="57" spans="1:16" s="9" customFormat="1" ht="13.5" customHeight="1" thickBot="1">
      <c r="A57" s="1007" t="s">
        <v>494</v>
      </c>
      <c r="B57" s="1008"/>
      <c r="C57" s="1008"/>
      <c r="D57" s="1008"/>
      <c r="E57" s="463">
        <f>E56</f>
        <v>276078.13</v>
      </c>
      <c r="F57" s="464">
        <f>F56</f>
        <v>100</v>
      </c>
      <c r="G57" s="463">
        <f aca="true" t="shared" si="18" ref="G57:L57">E57+G56</f>
        <v>276078.13</v>
      </c>
      <c r="H57" s="464">
        <f>F57+H56</f>
        <v>100</v>
      </c>
      <c r="I57" s="463">
        <f t="shared" si="18"/>
        <v>276078.13</v>
      </c>
      <c r="J57" s="464">
        <f t="shared" si="18"/>
        <v>100</v>
      </c>
      <c r="K57" s="463">
        <f t="shared" si="18"/>
        <v>276078.13</v>
      </c>
      <c r="L57" s="464">
        <f t="shared" si="18"/>
        <v>100</v>
      </c>
      <c r="M57" s="463">
        <f>K57+M56</f>
        <v>276078.13</v>
      </c>
      <c r="N57" s="464">
        <f>L57+N56</f>
        <v>100</v>
      </c>
      <c r="O57" s="465"/>
      <c r="P57" s="466"/>
    </row>
    <row r="58" spans="1:16" s="9" customFormat="1" ht="13.5" customHeight="1" thickBot="1">
      <c r="A58" s="623"/>
      <c r="B58" s="623"/>
      <c r="C58" s="623"/>
      <c r="D58" s="624"/>
      <c r="E58" s="625"/>
      <c r="F58" s="626"/>
      <c r="G58" s="627"/>
      <c r="H58" s="626"/>
      <c r="I58" s="627"/>
      <c r="J58" s="626"/>
      <c r="K58" s="627"/>
      <c r="L58" s="626"/>
      <c r="M58" s="628"/>
      <c r="N58" s="629"/>
      <c r="O58" s="630"/>
      <c r="P58" s="630"/>
    </row>
    <row r="59" spans="1:16" ht="13.5" customHeight="1">
      <c r="A59" s="1009" t="s">
        <v>495</v>
      </c>
      <c r="B59" s="998"/>
      <c r="C59" s="998"/>
      <c r="D59" s="998"/>
      <c r="E59" s="1009" t="s">
        <v>564</v>
      </c>
      <c r="F59" s="998"/>
      <c r="G59" s="998"/>
      <c r="H59" s="998"/>
      <c r="I59" s="998"/>
      <c r="J59" s="998"/>
      <c r="K59" s="998"/>
      <c r="L59" s="999"/>
      <c r="M59" s="634"/>
      <c r="N59" s="998" t="s">
        <v>496</v>
      </c>
      <c r="O59" s="998"/>
      <c r="P59" s="999"/>
    </row>
    <row r="60" spans="1:16" ht="13.5" customHeight="1">
      <c r="A60" s="1010"/>
      <c r="B60" s="1011"/>
      <c r="C60" s="1011"/>
      <c r="D60" s="1011"/>
      <c r="E60" s="1034" t="str">
        <f>'dados de entrada'!B6</f>
        <v>Carlos Alberto Bley</v>
      </c>
      <c r="F60" s="1035"/>
      <c r="G60" s="1035"/>
      <c r="H60" s="1035"/>
      <c r="I60" s="1035"/>
      <c r="J60" s="1035"/>
      <c r="K60" s="1035"/>
      <c r="L60" s="1036"/>
      <c r="M60" s="635"/>
      <c r="N60" s="622"/>
      <c r="O60" s="622"/>
      <c r="P60" s="631"/>
    </row>
    <row r="61" spans="1:16" ht="13.5" customHeight="1">
      <c r="A61" s="1038">
        <f>'dados de entrada'!B3</f>
        <v>41671</v>
      </c>
      <c r="B61" s="1039"/>
      <c r="C61" s="1039"/>
      <c r="D61" s="1039"/>
      <c r="E61" s="1010" t="s">
        <v>565</v>
      </c>
      <c r="F61" s="1011"/>
      <c r="G61" s="1011"/>
      <c r="H61" s="1011"/>
      <c r="I61" s="1011"/>
      <c r="J61" s="1011"/>
      <c r="K61" s="1011"/>
      <c r="L61" s="1037"/>
      <c r="M61" s="622"/>
      <c r="N61" s="622"/>
      <c r="O61" s="622"/>
      <c r="P61" s="631"/>
    </row>
    <row r="62" spans="1:16" ht="13.5" customHeight="1" thickBot="1">
      <c r="A62" s="1040"/>
      <c r="B62" s="1041"/>
      <c r="C62" s="1041"/>
      <c r="D62" s="1041"/>
      <c r="E62" s="1042" t="str">
        <f>'dados de entrada'!B17</f>
        <v>Engenheiro Civil - CREA SC 008.333-3</v>
      </c>
      <c r="F62" s="1043"/>
      <c r="G62" s="1043"/>
      <c r="H62" s="1043"/>
      <c r="I62" s="1043"/>
      <c r="J62" s="1043"/>
      <c r="K62" s="1043"/>
      <c r="L62" s="1044"/>
      <c r="M62" s="632"/>
      <c r="N62" s="632"/>
      <c r="O62" s="632"/>
      <c r="P62" s="633"/>
    </row>
    <row r="63" spans="1:16" ht="16.5" customHeight="1">
      <c r="A63" s="1000"/>
      <c r="B63" s="1000"/>
      <c r="C63" s="1000"/>
      <c r="D63" s="1000"/>
      <c r="E63" s="1000"/>
      <c r="F63" s="1000"/>
      <c r="G63" s="1000"/>
      <c r="H63" s="1000"/>
      <c r="I63" s="1000"/>
      <c r="J63" s="1000"/>
      <c r="K63" s="1000"/>
      <c r="L63" s="1000"/>
      <c r="M63" s="1000"/>
      <c r="N63" s="1000"/>
      <c r="O63" s="1000"/>
      <c r="P63" s="1000"/>
    </row>
    <row r="64" spans="1:16" ht="16.5" customHeight="1">
      <c r="A64" s="1001" t="s">
        <v>497</v>
      </c>
      <c r="B64" s="1001"/>
      <c r="C64" s="1001"/>
      <c r="D64" s="1001"/>
      <c r="E64" s="1001"/>
      <c r="F64" s="1001"/>
      <c r="G64" s="1001"/>
      <c r="H64" s="1001"/>
      <c r="I64" s="1001"/>
      <c r="J64" s="1001"/>
      <c r="K64" s="1001"/>
      <c r="L64" s="1001"/>
      <c r="M64" s="1001"/>
      <c r="N64" s="1001"/>
      <c r="O64" s="1001"/>
      <c r="P64" s="1001"/>
    </row>
    <row r="65" spans="1:16" ht="6.75" customHeight="1">
      <c r="A65" s="1002"/>
      <c r="B65" s="1002"/>
      <c r="C65" s="1002"/>
      <c r="D65" s="1002"/>
      <c r="E65" s="1002"/>
      <c r="F65" s="1002"/>
      <c r="G65" s="1002"/>
      <c r="H65" s="1002"/>
      <c r="I65" s="1002"/>
      <c r="J65" s="1002"/>
      <c r="K65" s="1002"/>
      <c r="L65" s="1002"/>
      <c r="M65" s="1002"/>
      <c r="N65" s="1002"/>
      <c r="O65" s="1002"/>
      <c r="P65" s="1002"/>
    </row>
    <row r="66" spans="1:16" ht="12.75">
      <c r="A66" s="1001" t="s">
        <v>498</v>
      </c>
      <c r="B66" s="1001"/>
      <c r="C66" s="1001"/>
      <c r="D66" s="1001"/>
      <c r="E66" s="1001"/>
      <c r="F66" s="1001"/>
      <c r="G66" s="1001"/>
      <c r="H66" s="1001"/>
      <c r="I66" s="1001"/>
      <c r="J66" s="1001"/>
      <c r="K66" s="1001"/>
      <c r="L66" s="1001"/>
      <c r="M66" s="1001"/>
      <c r="N66" s="1001"/>
      <c r="O66" s="1001"/>
      <c r="P66" s="1001"/>
    </row>
  </sheetData>
  <sheetProtection/>
  <mergeCells count="86">
    <mergeCell ref="B16:D16"/>
    <mergeCell ref="B18:D18"/>
    <mergeCell ref="B20:D20"/>
    <mergeCell ref="B37:D37"/>
    <mergeCell ref="B26:D26"/>
    <mergeCell ref="B27:D27"/>
    <mergeCell ref="B28:D28"/>
    <mergeCell ref="E60:L60"/>
    <mergeCell ref="E61:L61"/>
    <mergeCell ref="B31:D31"/>
    <mergeCell ref="B32:D32"/>
    <mergeCell ref="A61:D62"/>
    <mergeCell ref="E62:L62"/>
    <mergeCell ref="B43:D43"/>
    <mergeCell ref="B38:D38"/>
    <mergeCell ref="B41:D41"/>
    <mergeCell ref="A1:N1"/>
    <mergeCell ref="A5:C5"/>
    <mergeCell ref="H6:N6"/>
    <mergeCell ref="B23:D23"/>
    <mergeCell ref="B21:D21"/>
    <mergeCell ref="B22:D22"/>
    <mergeCell ref="A7:A9"/>
    <mergeCell ref="B7:D9"/>
    <mergeCell ref="E7:N7"/>
    <mergeCell ref="E8:F8"/>
    <mergeCell ref="O1:P2"/>
    <mergeCell ref="S1:X1"/>
    <mergeCell ref="Y1:Y2"/>
    <mergeCell ref="A2:N2"/>
    <mergeCell ref="S2:X2"/>
    <mergeCell ref="O3:P4"/>
    <mergeCell ref="S3:X3"/>
    <mergeCell ref="A3:C3"/>
    <mergeCell ref="D3:N3"/>
    <mergeCell ref="A4:C4"/>
    <mergeCell ref="G8:H8"/>
    <mergeCell ref="I8:J8"/>
    <mergeCell ref="K8:L8"/>
    <mergeCell ref="B19:D19"/>
    <mergeCell ref="B36:D36"/>
    <mergeCell ref="B25:D25"/>
    <mergeCell ref="B29:D29"/>
    <mergeCell ref="B34:D34"/>
    <mergeCell ref="B30:D30"/>
    <mergeCell ref="B24:D24"/>
    <mergeCell ref="N59:P59"/>
    <mergeCell ref="A63:P63"/>
    <mergeCell ref="A64:P64"/>
    <mergeCell ref="A65:P65"/>
    <mergeCell ref="A66:P66"/>
    <mergeCell ref="B55:D55"/>
    <mergeCell ref="A56:D56"/>
    <mergeCell ref="A57:D57"/>
    <mergeCell ref="A59:D60"/>
    <mergeCell ref="E59:L59"/>
    <mergeCell ref="D4:N4"/>
    <mergeCell ref="D5:N5"/>
    <mergeCell ref="A6:D6"/>
    <mergeCell ref="E6:G6"/>
    <mergeCell ref="B50:D50"/>
    <mergeCell ref="B35:D35"/>
    <mergeCell ref="B33:D33"/>
    <mergeCell ref="B39:D39"/>
    <mergeCell ref="B40:D40"/>
    <mergeCell ref="B42:D42"/>
    <mergeCell ref="O6:P6"/>
    <mergeCell ref="B12:D12"/>
    <mergeCell ref="B13:D13"/>
    <mergeCell ref="B14:D14"/>
    <mergeCell ref="B15:D15"/>
    <mergeCell ref="B17:D17"/>
    <mergeCell ref="O7:P8"/>
    <mergeCell ref="M8:N8"/>
    <mergeCell ref="B10:D10"/>
    <mergeCell ref="B11:D11"/>
    <mergeCell ref="B51:D51"/>
    <mergeCell ref="B44:D44"/>
    <mergeCell ref="B45:D45"/>
    <mergeCell ref="B52:D52"/>
    <mergeCell ref="B54:D54"/>
    <mergeCell ref="B46:D46"/>
    <mergeCell ref="B47:D47"/>
    <mergeCell ref="B48:D48"/>
    <mergeCell ref="B49:D49"/>
    <mergeCell ref="B53:D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9" customWidth="1"/>
    <col min="4" max="4" width="9.7109375" style="169" customWidth="1"/>
    <col min="5" max="5" width="10.57421875" style="169" customWidth="1"/>
    <col min="6" max="6" width="20.140625" style="169" bestFit="1" customWidth="1"/>
    <col min="7" max="8" width="9.7109375" style="169" customWidth="1"/>
    <col min="9" max="9" width="19.57421875" style="169" customWidth="1"/>
    <col min="10" max="11" width="10.00390625" style="169" customWidth="1"/>
    <col min="12" max="12" width="16.28125" style="169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137"/>
      <c r="B1" s="1138"/>
      <c r="C1" s="1141" t="s">
        <v>465</v>
      </c>
      <c r="D1" s="1141"/>
      <c r="E1" s="1141"/>
      <c r="F1" s="1142" t="str">
        <f>'dados de entrada'!B4</f>
        <v>BOMBINHAS</v>
      </c>
      <c r="G1" s="1143"/>
      <c r="H1" s="1143"/>
      <c r="I1" s="1143"/>
      <c r="J1" s="1143"/>
      <c r="K1" s="1143"/>
      <c r="L1" s="1144"/>
      <c r="M1" s="1145" t="s">
        <v>499</v>
      </c>
      <c r="N1" s="1147"/>
      <c r="O1" s="1014" t="s">
        <v>500</v>
      </c>
      <c r="Q1" s="459"/>
    </row>
    <row r="2" spans="1:17" ht="26.25" customHeight="1">
      <c r="A2" s="1139"/>
      <c r="B2" s="1140"/>
      <c r="C2" s="1150" t="s">
        <v>17</v>
      </c>
      <c r="D2" s="1150"/>
      <c r="E2" s="1150"/>
      <c r="F2" s="1151" t="str">
        <f>'dados de entrada'!B8</f>
        <v>PAVIMENTAÇÃO COM LAJOTAS SEXTAVADAS E DRENAGEM PLUVIAL </v>
      </c>
      <c r="G2" s="1152"/>
      <c r="H2" s="1152"/>
      <c r="I2" s="1152"/>
      <c r="J2" s="1152"/>
      <c r="K2" s="1152"/>
      <c r="L2" s="1153"/>
      <c r="M2" s="1146"/>
      <c r="N2" s="1148"/>
      <c r="O2" s="1016"/>
      <c r="P2" s="459"/>
      <c r="Q2" s="459"/>
    </row>
    <row r="3" spans="1:17" ht="29.25" customHeight="1">
      <c r="A3" s="1154" t="s">
        <v>501</v>
      </c>
      <c r="B3" s="1155"/>
      <c r="C3" s="1156" t="s">
        <v>502</v>
      </c>
      <c r="D3" s="1156"/>
      <c r="E3" s="1156"/>
      <c r="F3" s="1123"/>
      <c r="G3" s="1123"/>
      <c r="H3" s="1123"/>
      <c r="I3" s="1123"/>
      <c r="J3" s="1123"/>
      <c r="K3" s="1123"/>
      <c r="L3" s="1123"/>
      <c r="M3" s="1146"/>
      <c r="N3" s="1149"/>
      <c r="O3" s="1016"/>
      <c r="P3" s="459"/>
      <c r="Q3" s="459"/>
    </row>
    <row r="4" spans="1:17" ht="19.5" customHeight="1">
      <c r="A4" s="1124" t="s">
        <v>478</v>
      </c>
      <c r="B4" s="1125"/>
      <c r="C4" s="1125"/>
      <c r="D4" s="1125"/>
      <c r="E4" s="1125"/>
      <c r="F4" s="1125"/>
      <c r="G4" s="1126" t="s">
        <v>503</v>
      </c>
      <c r="H4" s="1127"/>
      <c r="I4" s="1130"/>
      <c r="J4" s="1132" t="s">
        <v>504</v>
      </c>
      <c r="K4" s="1134"/>
      <c r="L4" s="1136" t="s">
        <v>505</v>
      </c>
      <c r="M4" s="1112"/>
      <c r="N4" s="1114" t="s">
        <v>506</v>
      </c>
      <c r="O4" s="1116"/>
      <c r="P4" s="467"/>
      <c r="Q4" s="468"/>
    </row>
    <row r="5" spans="1:17" ht="20.25" customHeight="1">
      <c r="A5" s="1102" t="s">
        <v>507</v>
      </c>
      <c r="B5" s="1103"/>
      <c r="C5" s="1103"/>
      <c r="D5" s="1103"/>
      <c r="E5" s="1103"/>
      <c r="F5" s="1104"/>
      <c r="G5" s="1128"/>
      <c r="H5" s="1129"/>
      <c r="I5" s="1131"/>
      <c r="J5" s="1133"/>
      <c r="K5" s="1135"/>
      <c r="L5" s="1136"/>
      <c r="M5" s="1113"/>
      <c r="N5" s="1115"/>
      <c r="O5" s="1117"/>
      <c r="P5" s="469"/>
      <c r="Q5" s="469"/>
    </row>
    <row r="6" spans="1:15" ht="20.25" customHeight="1">
      <c r="A6" s="1102" t="s">
        <v>508</v>
      </c>
      <c r="B6" s="1103"/>
      <c r="C6" s="1103"/>
      <c r="D6" s="1103"/>
      <c r="E6" s="1103"/>
      <c r="F6" s="1104"/>
      <c r="G6" s="1118" t="s">
        <v>509</v>
      </c>
      <c r="H6" s="1119"/>
      <c r="I6" s="1120"/>
      <c r="J6" s="1119" t="s">
        <v>510</v>
      </c>
      <c r="K6" s="1119"/>
      <c r="L6" s="1119"/>
      <c r="M6" s="470" t="s">
        <v>7</v>
      </c>
      <c r="N6" s="1121" t="s">
        <v>511</v>
      </c>
      <c r="O6" s="1122"/>
    </row>
    <row r="7" spans="1:15" ht="21" customHeight="1">
      <c r="A7" s="1102"/>
      <c r="B7" s="1103"/>
      <c r="C7" s="1103"/>
      <c r="D7" s="1103"/>
      <c r="E7" s="1103"/>
      <c r="F7" s="1104"/>
      <c r="G7" s="1108" t="s">
        <v>512</v>
      </c>
      <c r="H7" s="1109"/>
      <c r="I7" s="1110"/>
      <c r="J7" s="1111">
        <f>J9*$M$7</f>
        <v>0</v>
      </c>
      <c r="K7" s="1111"/>
      <c r="L7" s="1111"/>
      <c r="M7" s="471"/>
      <c r="N7" s="1100">
        <f>N9*M7</f>
        <v>0</v>
      </c>
      <c r="O7" s="1101"/>
    </row>
    <row r="8" spans="1:15" ht="20.25" customHeight="1">
      <c r="A8" s="1102" t="s">
        <v>513</v>
      </c>
      <c r="B8" s="1103"/>
      <c r="C8" s="1103"/>
      <c r="D8" s="1103"/>
      <c r="E8" s="1103"/>
      <c r="F8" s="1104"/>
      <c r="G8" s="1108" t="s">
        <v>514</v>
      </c>
      <c r="H8" s="1109"/>
      <c r="I8" s="1110"/>
      <c r="J8" s="1111">
        <f>J9*$M$8</f>
        <v>0</v>
      </c>
      <c r="K8" s="1111"/>
      <c r="L8" s="1111"/>
      <c r="M8" s="471"/>
      <c r="N8" s="1100">
        <f>N9*$M$8</f>
        <v>0</v>
      </c>
      <c r="O8" s="1101"/>
    </row>
    <row r="9" spans="1:15" ht="21" customHeight="1">
      <c r="A9" s="1105"/>
      <c r="B9" s="1106"/>
      <c r="C9" s="1106"/>
      <c r="D9" s="1106"/>
      <c r="E9" s="1106"/>
      <c r="F9" s="1107"/>
      <c r="G9" s="1108" t="s">
        <v>515</v>
      </c>
      <c r="H9" s="1109"/>
      <c r="I9" s="1110"/>
      <c r="J9" s="1111">
        <f>$F$44</f>
        <v>0</v>
      </c>
      <c r="K9" s="1111"/>
      <c r="L9" s="1111"/>
      <c r="M9" s="472">
        <f>M7+M8</f>
        <v>0</v>
      </c>
      <c r="N9" s="1100">
        <f>$I$44</f>
        <v>0</v>
      </c>
      <c r="O9" s="1101"/>
    </row>
    <row r="10" spans="1:15" ht="12.75" customHeight="1" thickBot="1">
      <c r="A10" s="1083" t="s">
        <v>516</v>
      </c>
      <c r="B10" s="1086" t="s">
        <v>517</v>
      </c>
      <c r="C10" s="1089" t="s">
        <v>518</v>
      </c>
      <c r="D10" s="1090"/>
      <c r="E10" s="1090"/>
      <c r="F10" s="1091"/>
      <c r="G10" s="1095" t="s">
        <v>519</v>
      </c>
      <c r="H10" s="1095"/>
      <c r="I10" s="1095"/>
      <c r="J10" s="1095"/>
      <c r="K10" s="1095"/>
      <c r="L10" s="1095"/>
      <c r="M10" s="1095"/>
      <c r="N10" s="1095"/>
      <c r="O10" s="1096"/>
    </row>
    <row r="11" spans="1:15" ht="35.25" customHeight="1" thickBot="1" thickTop="1">
      <c r="A11" s="1084"/>
      <c r="B11" s="1087"/>
      <c r="C11" s="1092"/>
      <c r="D11" s="1093"/>
      <c r="E11" s="1093"/>
      <c r="F11" s="1094"/>
      <c r="G11" s="1095" t="s">
        <v>520</v>
      </c>
      <c r="H11" s="1095"/>
      <c r="I11" s="1097"/>
      <c r="J11" s="1098" t="s">
        <v>521</v>
      </c>
      <c r="K11" s="1099"/>
      <c r="L11" s="1099"/>
      <c r="M11" s="1095" t="s">
        <v>522</v>
      </c>
      <c r="N11" s="1095"/>
      <c r="O11" s="1096"/>
    </row>
    <row r="12" spans="1:15" ht="23.25" thickTop="1">
      <c r="A12" s="1085"/>
      <c r="B12" s="1088"/>
      <c r="C12" s="473" t="s">
        <v>32</v>
      </c>
      <c r="D12" s="473" t="s">
        <v>148</v>
      </c>
      <c r="E12" s="473" t="s">
        <v>523</v>
      </c>
      <c r="F12" s="473" t="s">
        <v>524</v>
      </c>
      <c r="G12" s="473" t="s">
        <v>148</v>
      </c>
      <c r="H12" s="475" t="s">
        <v>7</v>
      </c>
      <c r="I12" s="473" t="s">
        <v>524</v>
      </c>
      <c r="J12" s="473" t="s">
        <v>148</v>
      </c>
      <c r="K12" s="475" t="s">
        <v>7</v>
      </c>
      <c r="L12" s="473" t="s">
        <v>524</v>
      </c>
      <c r="M12" s="473" t="s">
        <v>148</v>
      </c>
      <c r="N12" s="473" t="s">
        <v>7</v>
      </c>
      <c r="O12" s="474" t="s">
        <v>524</v>
      </c>
    </row>
    <row r="13" spans="1:15" ht="12.75">
      <c r="A13" s="476">
        <v>1</v>
      </c>
      <c r="B13" s="477" t="s">
        <v>525</v>
      </c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70"/>
    </row>
    <row r="14" spans="1:15" ht="14.25" customHeight="1">
      <c r="A14" s="478"/>
      <c r="B14" s="479"/>
      <c r="C14" s="480"/>
      <c r="D14" s="481"/>
      <c r="E14" s="482"/>
      <c r="F14" s="483">
        <f>ROUND($D14*$E14,2)</f>
        <v>0</v>
      </c>
      <c r="G14" s="484"/>
      <c r="H14" s="485" t="e">
        <f>G14/D14</f>
        <v>#DIV/0!</v>
      </c>
      <c r="I14" s="486">
        <f>ROUND($G14*$E14,2)</f>
        <v>0</v>
      </c>
      <c r="J14" s="487"/>
      <c r="K14" s="488" t="e">
        <f aca="true" t="shared" si="0" ref="K14:K27">J14/D14</f>
        <v>#DIV/0!</v>
      </c>
      <c r="L14" s="489">
        <f>J14*$E14</f>
        <v>0</v>
      </c>
      <c r="M14" s="490">
        <f>J14+G14</f>
        <v>0</v>
      </c>
      <c r="N14" s="491" t="e">
        <f>H14+K14</f>
        <v>#DIV/0!</v>
      </c>
      <c r="O14" s="492">
        <f aca="true" t="shared" si="1" ref="O14:O42">ROUND($M14*$E14,2)</f>
        <v>0</v>
      </c>
    </row>
    <row r="15" spans="1:15" ht="14.25" customHeight="1">
      <c r="A15" s="478"/>
      <c r="B15" s="479"/>
      <c r="C15" s="480"/>
      <c r="D15" s="481"/>
      <c r="E15" s="482"/>
      <c r="F15" s="483">
        <f>ROUND($D15*$E15,2)</f>
        <v>0</v>
      </c>
      <c r="G15" s="493"/>
      <c r="H15" s="485" t="e">
        <f aca="true" t="shared" si="2" ref="H15:H37">G15/D15</f>
        <v>#DIV/0!</v>
      </c>
      <c r="I15" s="486">
        <f aca="true" t="shared" si="3" ref="I15:I42">ROUND($G15*$E15,2)</f>
        <v>0</v>
      </c>
      <c r="J15" s="487"/>
      <c r="K15" s="488" t="e">
        <f t="shared" si="0"/>
        <v>#DIV/0!</v>
      </c>
      <c r="L15" s="489">
        <f aca="true" t="shared" si="4" ref="L15:L37">J15*$E15</f>
        <v>0</v>
      </c>
      <c r="M15" s="490">
        <f aca="true" t="shared" si="5" ref="M15:M37">J15+G15</f>
        <v>0</v>
      </c>
      <c r="N15" s="491" t="e">
        <f aca="true" t="shared" si="6" ref="N15:N37">H15+K15</f>
        <v>#DIV/0!</v>
      </c>
      <c r="O15" s="492">
        <f t="shared" si="1"/>
        <v>0</v>
      </c>
    </row>
    <row r="16" spans="1:15" ht="14.25" customHeight="1">
      <c r="A16" s="478"/>
      <c r="B16" s="479"/>
      <c r="C16" s="480"/>
      <c r="D16" s="481"/>
      <c r="E16" s="482"/>
      <c r="F16" s="483">
        <f aca="true" t="shared" si="7" ref="F16:F37">ROUND($D16*$E16,2)</f>
        <v>0</v>
      </c>
      <c r="G16" s="494"/>
      <c r="H16" s="485" t="e">
        <f t="shared" si="2"/>
        <v>#DIV/0!</v>
      </c>
      <c r="I16" s="486">
        <f t="shared" si="3"/>
        <v>0</v>
      </c>
      <c r="J16" s="495"/>
      <c r="K16" s="488" t="e">
        <f t="shared" si="0"/>
        <v>#DIV/0!</v>
      </c>
      <c r="L16" s="489">
        <f t="shared" si="4"/>
        <v>0</v>
      </c>
      <c r="M16" s="490">
        <f t="shared" si="5"/>
        <v>0</v>
      </c>
      <c r="N16" s="491" t="e">
        <f t="shared" si="6"/>
        <v>#DIV/0!</v>
      </c>
      <c r="O16" s="492">
        <f t="shared" si="1"/>
        <v>0</v>
      </c>
    </row>
    <row r="17" spans="1:15" ht="14.25" customHeight="1">
      <c r="A17" s="478"/>
      <c r="B17" s="479"/>
      <c r="C17" s="480"/>
      <c r="D17" s="481"/>
      <c r="E17" s="482"/>
      <c r="F17" s="483">
        <f t="shared" si="7"/>
        <v>0</v>
      </c>
      <c r="G17" s="493"/>
      <c r="H17" s="485" t="e">
        <f t="shared" si="2"/>
        <v>#DIV/0!</v>
      </c>
      <c r="I17" s="486">
        <f t="shared" si="3"/>
        <v>0</v>
      </c>
      <c r="J17" s="487"/>
      <c r="K17" s="488" t="e">
        <f t="shared" si="0"/>
        <v>#DIV/0!</v>
      </c>
      <c r="L17" s="489">
        <f t="shared" si="4"/>
        <v>0</v>
      </c>
      <c r="M17" s="490">
        <f t="shared" si="5"/>
        <v>0</v>
      </c>
      <c r="N17" s="491" t="e">
        <f t="shared" si="6"/>
        <v>#DIV/0!</v>
      </c>
      <c r="O17" s="492">
        <f t="shared" si="1"/>
        <v>0</v>
      </c>
    </row>
    <row r="18" spans="1:15" ht="14.25" customHeight="1">
      <c r="A18" s="478"/>
      <c r="B18" s="479"/>
      <c r="C18" s="480"/>
      <c r="D18" s="481"/>
      <c r="E18" s="482"/>
      <c r="F18" s="483">
        <f t="shared" si="7"/>
        <v>0</v>
      </c>
      <c r="G18" s="493"/>
      <c r="H18" s="485" t="e">
        <f t="shared" si="2"/>
        <v>#DIV/0!</v>
      </c>
      <c r="I18" s="486">
        <f t="shared" si="3"/>
        <v>0</v>
      </c>
      <c r="J18" s="487"/>
      <c r="K18" s="488" t="e">
        <f t="shared" si="0"/>
        <v>#DIV/0!</v>
      </c>
      <c r="L18" s="489">
        <f t="shared" si="4"/>
        <v>0</v>
      </c>
      <c r="M18" s="490">
        <f t="shared" si="5"/>
        <v>0</v>
      </c>
      <c r="N18" s="491" t="e">
        <f t="shared" si="6"/>
        <v>#DIV/0!</v>
      </c>
      <c r="O18" s="492">
        <f t="shared" si="1"/>
        <v>0</v>
      </c>
    </row>
    <row r="19" spans="1:15" ht="14.25" customHeight="1">
      <c r="A19" s="478"/>
      <c r="B19" s="479"/>
      <c r="C19" s="480"/>
      <c r="D19" s="481"/>
      <c r="E19" s="482"/>
      <c r="F19" s="483">
        <f t="shared" si="7"/>
        <v>0</v>
      </c>
      <c r="G19" s="493"/>
      <c r="H19" s="485" t="e">
        <f t="shared" si="2"/>
        <v>#DIV/0!</v>
      </c>
      <c r="I19" s="486">
        <f t="shared" si="3"/>
        <v>0</v>
      </c>
      <c r="J19" s="487"/>
      <c r="K19" s="488" t="e">
        <f t="shared" si="0"/>
        <v>#DIV/0!</v>
      </c>
      <c r="L19" s="489">
        <f t="shared" si="4"/>
        <v>0</v>
      </c>
      <c r="M19" s="490">
        <f t="shared" si="5"/>
        <v>0</v>
      </c>
      <c r="N19" s="491" t="e">
        <f t="shared" si="6"/>
        <v>#DIV/0!</v>
      </c>
      <c r="O19" s="492">
        <f t="shared" si="1"/>
        <v>0</v>
      </c>
    </row>
    <row r="20" spans="1:15" ht="14.25" customHeight="1">
      <c r="A20" s="478"/>
      <c r="B20" s="479"/>
      <c r="C20" s="480"/>
      <c r="D20" s="481"/>
      <c r="E20" s="482"/>
      <c r="F20" s="483">
        <f t="shared" si="7"/>
        <v>0</v>
      </c>
      <c r="G20" s="493"/>
      <c r="H20" s="485" t="e">
        <f t="shared" si="2"/>
        <v>#DIV/0!</v>
      </c>
      <c r="I20" s="486">
        <f t="shared" si="3"/>
        <v>0</v>
      </c>
      <c r="J20" s="487"/>
      <c r="K20" s="488" t="e">
        <f t="shared" si="0"/>
        <v>#DIV/0!</v>
      </c>
      <c r="L20" s="489">
        <f t="shared" si="4"/>
        <v>0</v>
      </c>
      <c r="M20" s="490">
        <f t="shared" si="5"/>
        <v>0</v>
      </c>
      <c r="N20" s="491" t="e">
        <f t="shared" si="6"/>
        <v>#DIV/0!</v>
      </c>
      <c r="O20" s="492">
        <f t="shared" si="1"/>
        <v>0</v>
      </c>
    </row>
    <row r="21" spans="1:15" ht="14.25" customHeight="1">
      <c r="A21" s="478"/>
      <c r="B21" s="479"/>
      <c r="C21" s="480"/>
      <c r="D21" s="481"/>
      <c r="E21" s="482"/>
      <c r="F21" s="483">
        <f t="shared" si="7"/>
        <v>0</v>
      </c>
      <c r="G21" s="493"/>
      <c r="H21" s="485" t="e">
        <f t="shared" si="2"/>
        <v>#DIV/0!</v>
      </c>
      <c r="I21" s="486">
        <f t="shared" si="3"/>
        <v>0</v>
      </c>
      <c r="J21" s="487"/>
      <c r="K21" s="488" t="e">
        <f t="shared" si="0"/>
        <v>#DIV/0!</v>
      </c>
      <c r="L21" s="489">
        <f t="shared" si="4"/>
        <v>0</v>
      </c>
      <c r="M21" s="490">
        <f t="shared" si="5"/>
        <v>0</v>
      </c>
      <c r="N21" s="491" t="e">
        <f t="shared" si="6"/>
        <v>#DIV/0!</v>
      </c>
      <c r="O21" s="492">
        <f t="shared" si="1"/>
        <v>0</v>
      </c>
    </row>
    <row r="22" spans="1:15" ht="14.25" customHeight="1">
      <c r="A22" s="478"/>
      <c r="B22" s="479"/>
      <c r="C22" s="480"/>
      <c r="D22" s="481"/>
      <c r="E22" s="482"/>
      <c r="F22" s="483">
        <f t="shared" si="7"/>
        <v>0</v>
      </c>
      <c r="G22" s="493"/>
      <c r="H22" s="485" t="e">
        <f t="shared" si="2"/>
        <v>#DIV/0!</v>
      </c>
      <c r="I22" s="486">
        <f t="shared" si="3"/>
        <v>0</v>
      </c>
      <c r="J22" s="487"/>
      <c r="K22" s="488" t="e">
        <f t="shared" si="0"/>
        <v>#DIV/0!</v>
      </c>
      <c r="L22" s="489">
        <f t="shared" si="4"/>
        <v>0</v>
      </c>
      <c r="M22" s="490">
        <f t="shared" si="5"/>
        <v>0</v>
      </c>
      <c r="N22" s="491" t="e">
        <f t="shared" si="6"/>
        <v>#DIV/0!</v>
      </c>
      <c r="O22" s="492">
        <f t="shared" si="1"/>
        <v>0</v>
      </c>
    </row>
    <row r="23" spans="1:15" ht="14.25" customHeight="1">
      <c r="A23" s="478"/>
      <c r="B23" s="479"/>
      <c r="C23" s="480"/>
      <c r="D23" s="481"/>
      <c r="E23" s="482"/>
      <c r="F23" s="483">
        <f t="shared" si="7"/>
        <v>0</v>
      </c>
      <c r="G23" s="493"/>
      <c r="H23" s="485" t="e">
        <f t="shared" si="2"/>
        <v>#DIV/0!</v>
      </c>
      <c r="I23" s="486">
        <f t="shared" si="3"/>
        <v>0</v>
      </c>
      <c r="J23" s="487"/>
      <c r="K23" s="488" t="e">
        <f t="shared" si="0"/>
        <v>#DIV/0!</v>
      </c>
      <c r="L23" s="489">
        <f t="shared" si="4"/>
        <v>0</v>
      </c>
      <c r="M23" s="490">
        <f t="shared" si="5"/>
        <v>0</v>
      </c>
      <c r="N23" s="491" t="e">
        <f t="shared" si="6"/>
        <v>#DIV/0!</v>
      </c>
      <c r="O23" s="492">
        <f t="shared" si="1"/>
        <v>0</v>
      </c>
    </row>
    <row r="24" spans="1:15" ht="14.25" customHeight="1">
      <c r="A24" s="478"/>
      <c r="B24" s="479"/>
      <c r="C24" s="480"/>
      <c r="D24" s="481"/>
      <c r="E24" s="482"/>
      <c r="F24" s="483">
        <f t="shared" si="7"/>
        <v>0</v>
      </c>
      <c r="G24" s="493"/>
      <c r="H24" s="485" t="e">
        <f t="shared" si="2"/>
        <v>#DIV/0!</v>
      </c>
      <c r="I24" s="486">
        <f t="shared" si="3"/>
        <v>0</v>
      </c>
      <c r="J24" s="487"/>
      <c r="K24" s="488" t="e">
        <f t="shared" si="0"/>
        <v>#DIV/0!</v>
      </c>
      <c r="L24" s="489">
        <f t="shared" si="4"/>
        <v>0</v>
      </c>
      <c r="M24" s="490">
        <f t="shared" si="5"/>
        <v>0</v>
      </c>
      <c r="N24" s="491" t="e">
        <f t="shared" si="6"/>
        <v>#DIV/0!</v>
      </c>
      <c r="O24" s="492">
        <f t="shared" si="1"/>
        <v>0</v>
      </c>
    </row>
    <row r="25" spans="1:15" ht="14.25" customHeight="1">
      <c r="A25" s="478"/>
      <c r="B25" s="479"/>
      <c r="C25" s="480"/>
      <c r="D25" s="481"/>
      <c r="E25" s="482"/>
      <c r="F25" s="483">
        <f t="shared" si="7"/>
        <v>0</v>
      </c>
      <c r="G25" s="493"/>
      <c r="H25" s="485" t="e">
        <f t="shared" si="2"/>
        <v>#DIV/0!</v>
      </c>
      <c r="I25" s="486">
        <f t="shared" si="3"/>
        <v>0</v>
      </c>
      <c r="J25" s="487"/>
      <c r="K25" s="488" t="e">
        <f t="shared" si="0"/>
        <v>#DIV/0!</v>
      </c>
      <c r="L25" s="489">
        <f t="shared" si="4"/>
        <v>0</v>
      </c>
      <c r="M25" s="490">
        <f t="shared" si="5"/>
        <v>0</v>
      </c>
      <c r="N25" s="491" t="e">
        <f t="shared" si="6"/>
        <v>#DIV/0!</v>
      </c>
      <c r="O25" s="492">
        <f t="shared" si="1"/>
        <v>0</v>
      </c>
    </row>
    <row r="26" spans="1:15" ht="14.25" customHeight="1">
      <c r="A26" s="478"/>
      <c r="B26" s="479"/>
      <c r="C26" s="480"/>
      <c r="D26" s="481"/>
      <c r="E26" s="482"/>
      <c r="F26" s="483">
        <f t="shared" si="7"/>
        <v>0</v>
      </c>
      <c r="G26" s="494"/>
      <c r="H26" s="485" t="e">
        <f t="shared" si="2"/>
        <v>#DIV/0!</v>
      </c>
      <c r="I26" s="486">
        <f t="shared" si="3"/>
        <v>0</v>
      </c>
      <c r="J26" s="495"/>
      <c r="K26" s="488" t="e">
        <f t="shared" si="0"/>
        <v>#DIV/0!</v>
      </c>
      <c r="L26" s="489">
        <f t="shared" si="4"/>
        <v>0</v>
      </c>
      <c r="M26" s="490">
        <f t="shared" si="5"/>
        <v>0</v>
      </c>
      <c r="N26" s="491" t="e">
        <f t="shared" si="6"/>
        <v>#DIV/0!</v>
      </c>
      <c r="O26" s="492">
        <f t="shared" si="1"/>
        <v>0</v>
      </c>
    </row>
    <row r="27" spans="1:15" ht="14.25" customHeight="1">
      <c r="A27" s="478"/>
      <c r="B27" s="479"/>
      <c r="C27" s="480"/>
      <c r="D27" s="481"/>
      <c r="E27" s="482"/>
      <c r="F27" s="483">
        <f t="shared" si="7"/>
        <v>0</v>
      </c>
      <c r="G27" s="493"/>
      <c r="H27" s="485" t="e">
        <f t="shared" si="2"/>
        <v>#DIV/0!</v>
      </c>
      <c r="I27" s="486">
        <f t="shared" si="3"/>
        <v>0</v>
      </c>
      <c r="J27" s="487"/>
      <c r="K27" s="488" t="e">
        <f t="shared" si="0"/>
        <v>#DIV/0!</v>
      </c>
      <c r="L27" s="489">
        <f t="shared" si="4"/>
        <v>0</v>
      </c>
      <c r="M27" s="490">
        <f t="shared" si="5"/>
        <v>0</v>
      </c>
      <c r="N27" s="491" t="e">
        <f t="shared" si="6"/>
        <v>#DIV/0!</v>
      </c>
      <c r="O27" s="492">
        <f t="shared" si="1"/>
        <v>0</v>
      </c>
    </row>
    <row r="28" spans="1:15" ht="14.25" customHeight="1">
      <c r="A28" s="478"/>
      <c r="B28" s="479"/>
      <c r="C28" s="480"/>
      <c r="D28" s="481"/>
      <c r="E28" s="482"/>
      <c r="F28" s="483">
        <f t="shared" si="7"/>
        <v>0</v>
      </c>
      <c r="G28" s="493"/>
      <c r="H28" s="485" t="e">
        <f t="shared" si="2"/>
        <v>#DIV/0!</v>
      </c>
      <c r="I28" s="486">
        <f t="shared" si="3"/>
        <v>0</v>
      </c>
      <c r="J28" s="487"/>
      <c r="K28" s="488" t="e">
        <f>J28/D28</f>
        <v>#DIV/0!</v>
      </c>
      <c r="L28" s="489">
        <f t="shared" si="4"/>
        <v>0</v>
      </c>
      <c r="M28" s="490">
        <f t="shared" si="5"/>
        <v>0</v>
      </c>
      <c r="N28" s="491" t="e">
        <f t="shared" si="6"/>
        <v>#DIV/0!</v>
      </c>
      <c r="O28" s="492">
        <f t="shared" si="1"/>
        <v>0</v>
      </c>
    </row>
    <row r="29" spans="1:15" ht="14.25" customHeight="1">
      <c r="A29" s="478"/>
      <c r="B29" s="479"/>
      <c r="C29" s="480"/>
      <c r="D29" s="481"/>
      <c r="E29" s="482"/>
      <c r="F29" s="483">
        <f t="shared" si="7"/>
        <v>0</v>
      </c>
      <c r="G29" s="493"/>
      <c r="H29" s="485" t="e">
        <f t="shared" si="2"/>
        <v>#DIV/0!</v>
      </c>
      <c r="I29" s="486">
        <f t="shared" si="3"/>
        <v>0</v>
      </c>
      <c r="J29" s="487"/>
      <c r="K29" s="488" t="e">
        <f>J29/D29</f>
        <v>#DIV/0!</v>
      </c>
      <c r="L29" s="489">
        <f t="shared" si="4"/>
        <v>0</v>
      </c>
      <c r="M29" s="490">
        <f t="shared" si="5"/>
        <v>0</v>
      </c>
      <c r="N29" s="491" t="e">
        <f t="shared" si="6"/>
        <v>#DIV/0!</v>
      </c>
      <c r="O29" s="492">
        <f t="shared" si="1"/>
        <v>0</v>
      </c>
    </row>
    <row r="30" spans="1:15" ht="14.25" customHeight="1">
      <c r="A30" s="478"/>
      <c r="B30" s="479"/>
      <c r="C30" s="480"/>
      <c r="D30" s="481"/>
      <c r="E30" s="482"/>
      <c r="F30" s="483">
        <f t="shared" si="7"/>
        <v>0</v>
      </c>
      <c r="G30" s="493"/>
      <c r="H30" s="485" t="e">
        <f t="shared" si="2"/>
        <v>#DIV/0!</v>
      </c>
      <c r="I30" s="486">
        <f t="shared" si="3"/>
        <v>0</v>
      </c>
      <c r="J30" s="487"/>
      <c r="K30" s="488" t="e">
        <f>J30/D30</f>
        <v>#DIV/0!</v>
      </c>
      <c r="L30" s="489">
        <f t="shared" si="4"/>
        <v>0</v>
      </c>
      <c r="M30" s="490">
        <f t="shared" si="5"/>
        <v>0</v>
      </c>
      <c r="N30" s="491" t="e">
        <f t="shared" si="6"/>
        <v>#DIV/0!</v>
      </c>
      <c r="O30" s="492">
        <f t="shared" si="1"/>
        <v>0</v>
      </c>
    </row>
    <row r="31" spans="1:15" ht="14.25" customHeight="1">
      <c r="A31" s="478"/>
      <c r="B31" s="479"/>
      <c r="C31" s="480"/>
      <c r="D31" s="481"/>
      <c r="E31" s="482"/>
      <c r="F31" s="483">
        <f t="shared" si="7"/>
        <v>0</v>
      </c>
      <c r="G31" s="493"/>
      <c r="H31" s="485" t="e">
        <f t="shared" si="2"/>
        <v>#DIV/0!</v>
      </c>
      <c r="I31" s="486">
        <f t="shared" si="3"/>
        <v>0</v>
      </c>
      <c r="J31" s="487"/>
      <c r="K31" s="488" t="e">
        <f>J31/D31</f>
        <v>#DIV/0!</v>
      </c>
      <c r="L31" s="489">
        <f t="shared" si="4"/>
        <v>0</v>
      </c>
      <c r="M31" s="490">
        <f t="shared" si="5"/>
        <v>0</v>
      </c>
      <c r="N31" s="491" t="e">
        <f t="shared" si="6"/>
        <v>#DIV/0!</v>
      </c>
      <c r="O31" s="492">
        <f t="shared" si="1"/>
        <v>0</v>
      </c>
    </row>
    <row r="32" spans="1:15" ht="14.25" customHeight="1">
      <c r="A32" s="478"/>
      <c r="B32" s="479"/>
      <c r="C32" s="480"/>
      <c r="D32" s="481"/>
      <c r="E32" s="482"/>
      <c r="F32" s="483">
        <f t="shared" si="7"/>
        <v>0</v>
      </c>
      <c r="G32" s="494"/>
      <c r="H32" s="485" t="e">
        <f t="shared" si="2"/>
        <v>#DIV/0!</v>
      </c>
      <c r="I32" s="486">
        <f t="shared" si="3"/>
        <v>0</v>
      </c>
      <c r="J32" s="495"/>
      <c r="K32" s="488" t="e">
        <f aca="true" t="shared" si="8" ref="K32:K37">J32/D32</f>
        <v>#DIV/0!</v>
      </c>
      <c r="L32" s="489">
        <f t="shared" si="4"/>
        <v>0</v>
      </c>
      <c r="M32" s="490">
        <f t="shared" si="5"/>
        <v>0</v>
      </c>
      <c r="N32" s="491" t="e">
        <f t="shared" si="6"/>
        <v>#DIV/0!</v>
      </c>
      <c r="O32" s="492">
        <f t="shared" si="1"/>
        <v>0</v>
      </c>
    </row>
    <row r="33" spans="1:15" ht="14.25" customHeight="1">
      <c r="A33" s="478"/>
      <c r="B33" s="479"/>
      <c r="C33" s="480"/>
      <c r="D33" s="481"/>
      <c r="E33" s="482"/>
      <c r="F33" s="483">
        <f t="shared" si="7"/>
        <v>0</v>
      </c>
      <c r="G33" s="493"/>
      <c r="H33" s="485" t="e">
        <f t="shared" si="2"/>
        <v>#DIV/0!</v>
      </c>
      <c r="I33" s="486">
        <f t="shared" si="3"/>
        <v>0</v>
      </c>
      <c r="J33" s="487"/>
      <c r="K33" s="488" t="e">
        <f t="shared" si="8"/>
        <v>#DIV/0!</v>
      </c>
      <c r="L33" s="489">
        <f t="shared" si="4"/>
        <v>0</v>
      </c>
      <c r="M33" s="490">
        <f t="shared" si="5"/>
        <v>0</v>
      </c>
      <c r="N33" s="491" t="e">
        <f t="shared" si="6"/>
        <v>#DIV/0!</v>
      </c>
      <c r="O33" s="492">
        <f t="shared" si="1"/>
        <v>0</v>
      </c>
    </row>
    <row r="34" spans="1:15" ht="14.25" customHeight="1">
      <c r="A34" s="478"/>
      <c r="B34" s="479"/>
      <c r="C34" s="480"/>
      <c r="D34" s="481"/>
      <c r="E34" s="482"/>
      <c r="F34" s="483">
        <f t="shared" si="7"/>
        <v>0</v>
      </c>
      <c r="G34" s="493"/>
      <c r="H34" s="485" t="e">
        <f t="shared" si="2"/>
        <v>#DIV/0!</v>
      </c>
      <c r="I34" s="486">
        <f t="shared" si="3"/>
        <v>0</v>
      </c>
      <c r="J34" s="487"/>
      <c r="K34" s="488" t="e">
        <f t="shared" si="8"/>
        <v>#DIV/0!</v>
      </c>
      <c r="L34" s="489">
        <f t="shared" si="4"/>
        <v>0</v>
      </c>
      <c r="M34" s="490">
        <f t="shared" si="5"/>
        <v>0</v>
      </c>
      <c r="N34" s="491" t="e">
        <f t="shared" si="6"/>
        <v>#DIV/0!</v>
      </c>
      <c r="O34" s="492">
        <f t="shared" si="1"/>
        <v>0</v>
      </c>
    </row>
    <row r="35" spans="1:15" ht="14.25" customHeight="1">
      <c r="A35" s="478"/>
      <c r="B35" s="479"/>
      <c r="C35" s="480"/>
      <c r="D35" s="481"/>
      <c r="E35" s="482"/>
      <c r="F35" s="483">
        <f t="shared" si="7"/>
        <v>0</v>
      </c>
      <c r="G35" s="493"/>
      <c r="H35" s="485" t="e">
        <f t="shared" si="2"/>
        <v>#DIV/0!</v>
      </c>
      <c r="I35" s="486">
        <f t="shared" si="3"/>
        <v>0</v>
      </c>
      <c r="J35" s="487"/>
      <c r="K35" s="488" t="e">
        <f t="shared" si="8"/>
        <v>#DIV/0!</v>
      </c>
      <c r="L35" s="489">
        <f t="shared" si="4"/>
        <v>0</v>
      </c>
      <c r="M35" s="490">
        <f t="shared" si="5"/>
        <v>0</v>
      </c>
      <c r="N35" s="491" t="e">
        <f t="shared" si="6"/>
        <v>#DIV/0!</v>
      </c>
      <c r="O35" s="492">
        <f t="shared" si="1"/>
        <v>0</v>
      </c>
    </row>
    <row r="36" spans="1:15" ht="12.75">
      <c r="A36" s="478"/>
      <c r="B36" s="479"/>
      <c r="C36" s="480"/>
      <c r="D36" s="481"/>
      <c r="E36" s="482"/>
      <c r="F36" s="483">
        <f t="shared" si="7"/>
        <v>0</v>
      </c>
      <c r="G36" s="493"/>
      <c r="H36" s="485" t="e">
        <f t="shared" si="2"/>
        <v>#DIV/0!</v>
      </c>
      <c r="I36" s="486">
        <f t="shared" si="3"/>
        <v>0</v>
      </c>
      <c r="J36" s="487"/>
      <c r="K36" s="488" t="e">
        <f t="shared" si="8"/>
        <v>#DIV/0!</v>
      </c>
      <c r="L36" s="489">
        <f t="shared" si="4"/>
        <v>0</v>
      </c>
      <c r="M36" s="490">
        <f t="shared" si="5"/>
        <v>0</v>
      </c>
      <c r="N36" s="491" t="e">
        <f t="shared" si="6"/>
        <v>#DIV/0!</v>
      </c>
      <c r="O36" s="492">
        <f t="shared" si="1"/>
        <v>0</v>
      </c>
    </row>
    <row r="37" spans="1:15" ht="12.75">
      <c r="A37" s="496"/>
      <c r="B37" s="497"/>
      <c r="C37" s="498"/>
      <c r="D37" s="481"/>
      <c r="E37" s="482"/>
      <c r="F37" s="483">
        <f t="shared" si="7"/>
        <v>0</v>
      </c>
      <c r="G37" s="493"/>
      <c r="H37" s="485" t="e">
        <f t="shared" si="2"/>
        <v>#DIV/0!</v>
      </c>
      <c r="I37" s="486">
        <f t="shared" si="3"/>
        <v>0</v>
      </c>
      <c r="J37" s="487"/>
      <c r="K37" s="488" t="e">
        <f t="shared" si="8"/>
        <v>#DIV/0!</v>
      </c>
      <c r="L37" s="489">
        <f t="shared" si="4"/>
        <v>0</v>
      </c>
      <c r="M37" s="490">
        <f t="shared" si="5"/>
        <v>0</v>
      </c>
      <c r="N37" s="491" t="e">
        <f t="shared" si="6"/>
        <v>#DIV/0!</v>
      </c>
      <c r="O37" s="492">
        <f t="shared" si="1"/>
        <v>0</v>
      </c>
    </row>
    <row r="38" spans="1:15" ht="12.75">
      <c r="A38" s="478"/>
      <c r="B38" s="479"/>
      <c r="C38" s="499"/>
      <c r="D38" s="481"/>
      <c r="E38" s="482"/>
      <c r="F38" s="483">
        <f>ROUND($D38*$E38,2)</f>
        <v>0</v>
      </c>
      <c r="G38" s="493"/>
      <c r="H38" s="485" t="e">
        <f>G38/D38</f>
        <v>#DIV/0!</v>
      </c>
      <c r="I38" s="486">
        <f t="shared" si="3"/>
        <v>0</v>
      </c>
      <c r="J38" s="487"/>
      <c r="K38" s="488" t="e">
        <f>J38/D38</f>
        <v>#DIV/0!</v>
      </c>
      <c r="L38" s="489">
        <f>J38*$E38</f>
        <v>0</v>
      </c>
      <c r="M38" s="490">
        <f>J38+G38</f>
        <v>0</v>
      </c>
      <c r="N38" s="491" t="e">
        <f>H38+K38</f>
        <v>#DIV/0!</v>
      </c>
      <c r="O38" s="492">
        <f t="shared" si="1"/>
        <v>0</v>
      </c>
    </row>
    <row r="39" spans="1:15" ht="12.75">
      <c r="A39" s="478"/>
      <c r="B39" s="479"/>
      <c r="C39" s="499"/>
      <c r="D39" s="481"/>
      <c r="E39" s="482"/>
      <c r="F39" s="483">
        <f>ROUND($D39*$E39,2)</f>
        <v>0</v>
      </c>
      <c r="G39" s="493"/>
      <c r="H39" s="485" t="e">
        <f>G39/D39</f>
        <v>#DIV/0!</v>
      </c>
      <c r="I39" s="486">
        <f t="shared" si="3"/>
        <v>0</v>
      </c>
      <c r="J39" s="487"/>
      <c r="K39" s="488" t="e">
        <f>J39/D39</f>
        <v>#DIV/0!</v>
      </c>
      <c r="L39" s="489">
        <f>J39*$E39</f>
        <v>0</v>
      </c>
      <c r="M39" s="490">
        <f>J39+G39</f>
        <v>0</v>
      </c>
      <c r="N39" s="491" t="e">
        <f>H39+K39</f>
        <v>#DIV/0!</v>
      </c>
      <c r="O39" s="492">
        <f t="shared" si="1"/>
        <v>0</v>
      </c>
    </row>
    <row r="40" spans="1:15" ht="12.75">
      <c r="A40" s="478"/>
      <c r="B40" s="479"/>
      <c r="C40" s="499"/>
      <c r="D40" s="481"/>
      <c r="E40" s="482"/>
      <c r="F40" s="483">
        <f>ROUND($D40*$E40,2)</f>
        <v>0</v>
      </c>
      <c r="G40" s="493"/>
      <c r="H40" s="485" t="e">
        <f>G40/D40</f>
        <v>#DIV/0!</v>
      </c>
      <c r="I40" s="486">
        <f t="shared" si="3"/>
        <v>0</v>
      </c>
      <c r="J40" s="487"/>
      <c r="K40" s="488" t="e">
        <f>J40/D40</f>
        <v>#DIV/0!</v>
      </c>
      <c r="L40" s="489">
        <f>J40*$E40</f>
        <v>0</v>
      </c>
      <c r="M40" s="490">
        <f>J40+G40</f>
        <v>0</v>
      </c>
      <c r="N40" s="491" t="e">
        <f>H40+K40</f>
        <v>#DIV/0!</v>
      </c>
      <c r="O40" s="492">
        <f t="shared" si="1"/>
        <v>0</v>
      </c>
    </row>
    <row r="41" spans="1:15" ht="12.75">
      <c r="A41" s="478"/>
      <c r="B41" s="479"/>
      <c r="C41" s="499"/>
      <c r="D41" s="481"/>
      <c r="E41" s="482"/>
      <c r="F41" s="483">
        <f>ROUND($D41*$E41,2)</f>
        <v>0</v>
      </c>
      <c r="G41" s="493"/>
      <c r="H41" s="485" t="e">
        <f>G41/D41</f>
        <v>#DIV/0!</v>
      </c>
      <c r="I41" s="486">
        <f t="shared" si="3"/>
        <v>0</v>
      </c>
      <c r="J41" s="487"/>
      <c r="K41" s="488" t="e">
        <f>J41/D41</f>
        <v>#DIV/0!</v>
      </c>
      <c r="L41" s="489">
        <f>J41*$E41</f>
        <v>0</v>
      </c>
      <c r="M41" s="490">
        <f>J41+G41</f>
        <v>0</v>
      </c>
      <c r="N41" s="491" t="e">
        <f>H41+K41</f>
        <v>#DIV/0!</v>
      </c>
      <c r="O41" s="492">
        <f t="shared" si="1"/>
        <v>0</v>
      </c>
    </row>
    <row r="42" spans="1:15" ht="12.75">
      <c r="A42" s="478"/>
      <c r="B42" s="479"/>
      <c r="C42" s="500"/>
      <c r="D42" s="481"/>
      <c r="E42" s="482"/>
      <c r="F42" s="483">
        <f>ROUND($D42*$E42,2)</f>
        <v>0</v>
      </c>
      <c r="G42" s="493"/>
      <c r="H42" s="485" t="e">
        <f>G42/D42</f>
        <v>#DIV/0!</v>
      </c>
      <c r="I42" s="486">
        <f t="shared" si="3"/>
        <v>0</v>
      </c>
      <c r="J42" s="487"/>
      <c r="K42" s="488" t="e">
        <f>J42/D42</f>
        <v>#DIV/0!</v>
      </c>
      <c r="L42" s="489">
        <f>J42*$E42</f>
        <v>0</v>
      </c>
      <c r="M42" s="490">
        <f>J42+G42</f>
        <v>0</v>
      </c>
      <c r="N42" s="491" t="e">
        <f>H42+K42</f>
        <v>#DIV/0!</v>
      </c>
      <c r="O42" s="492">
        <f t="shared" si="1"/>
        <v>0</v>
      </c>
    </row>
    <row r="43" spans="1:15" ht="12.75">
      <c r="A43" s="1071"/>
      <c r="B43" s="1072"/>
      <c r="C43" s="1072"/>
      <c r="D43" s="1072"/>
      <c r="E43" s="1072"/>
      <c r="F43" s="1072"/>
      <c r="G43" s="1072"/>
      <c r="H43" s="1072"/>
      <c r="I43" s="1072"/>
      <c r="J43" s="1072"/>
      <c r="K43" s="1072"/>
      <c r="L43" s="1072"/>
      <c r="M43" s="1072"/>
      <c r="N43" s="1072"/>
      <c r="O43" s="1073"/>
    </row>
    <row r="44" spans="1:15" ht="15.75">
      <c r="A44" s="1071" t="s">
        <v>526</v>
      </c>
      <c r="B44" s="1074"/>
      <c r="C44" s="1075"/>
      <c r="D44" s="1076"/>
      <c r="E44" s="1077"/>
      <c r="F44" s="501">
        <f>SUM(F14:F42)</f>
        <v>0</v>
      </c>
      <c r="G44" s="1078"/>
      <c r="H44" s="1079"/>
      <c r="I44" s="501">
        <f>SUM(I14:I42)</f>
        <v>0</v>
      </c>
      <c r="J44" s="1080"/>
      <c r="K44" s="1081"/>
      <c r="L44" s="501">
        <f>SUM(L14:L42)</f>
        <v>0</v>
      </c>
      <c r="M44" s="1080"/>
      <c r="N44" s="1082"/>
      <c r="O44" s="502">
        <f>SUM(O14:O42)</f>
        <v>0</v>
      </c>
    </row>
    <row r="45" spans="1:15" ht="12.75" customHeight="1" thickBot="1">
      <c r="A45" s="1054" t="s">
        <v>527</v>
      </c>
      <c r="B45" s="1055"/>
      <c r="C45" s="1056"/>
      <c r="D45" s="1055" t="s">
        <v>528</v>
      </c>
      <c r="E45" s="1055"/>
      <c r="F45" s="1055"/>
      <c r="G45" s="1055"/>
      <c r="H45" s="1055"/>
      <c r="I45" s="1055"/>
      <c r="J45" s="1055"/>
      <c r="K45" s="1051" t="s">
        <v>529</v>
      </c>
      <c r="L45" s="1052"/>
      <c r="M45" s="1052"/>
      <c r="N45" s="1052"/>
      <c r="O45" s="1053"/>
    </row>
    <row r="46" spans="1:15" ht="12.75">
      <c r="A46" s="1057"/>
      <c r="B46" s="1058"/>
      <c r="C46" s="1059"/>
      <c r="D46" s="1063"/>
      <c r="E46" s="1063"/>
      <c r="F46" s="1063"/>
      <c r="G46" s="1063"/>
      <c r="H46" s="1063"/>
      <c r="I46" s="1063"/>
      <c r="J46" s="1063"/>
      <c r="K46" s="1065" t="s">
        <v>530</v>
      </c>
      <c r="L46" s="1058"/>
      <c r="M46" s="1058"/>
      <c r="N46" s="1058"/>
      <c r="O46" s="1066"/>
    </row>
    <row r="47" spans="1:15" ht="12.75">
      <c r="A47" s="1057"/>
      <c r="B47" s="1058"/>
      <c r="C47" s="1059"/>
      <c r="D47" s="1064"/>
      <c r="E47" s="1064"/>
      <c r="F47" s="1064"/>
      <c r="G47" s="1064"/>
      <c r="H47" s="1064"/>
      <c r="I47" s="1064"/>
      <c r="J47" s="1064"/>
      <c r="K47" s="1065"/>
      <c r="L47" s="1058"/>
      <c r="M47" s="1058"/>
      <c r="N47" s="1058"/>
      <c r="O47" s="1066"/>
    </row>
    <row r="48" spans="1:15" ht="12.75">
      <c r="A48" s="1060"/>
      <c r="B48" s="1061"/>
      <c r="C48" s="1062"/>
      <c r="D48" s="1064"/>
      <c r="E48" s="1064"/>
      <c r="F48" s="1064"/>
      <c r="G48" s="1064"/>
      <c r="H48" s="1064"/>
      <c r="I48" s="1064"/>
      <c r="J48" s="1064"/>
      <c r="K48" s="1067"/>
      <c r="L48" s="1061"/>
      <c r="M48" s="1061"/>
      <c r="N48" s="1061"/>
      <c r="O48" s="1068"/>
    </row>
    <row r="49" spans="1:15" ht="12.75" customHeight="1" thickBot="1">
      <c r="A49" s="1045" t="s">
        <v>531</v>
      </c>
      <c r="B49" s="1046"/>
      <c r="C49" s="1047"/>
      <c r="D49" s="1048" t="s">
        <v>532</v>
      </c>
      <c r="E49" s="1049"/>
      <c r="F49" s="1049"/>
      <c r="G49" s="1049"/>
      <c r="H49" s="1049"/>
      <c r="I49" s="1049"/>
      <c r="J49" s="1050"/>
      <c r="K49" s="1051" t="s">
        <v>533</v>
      </c>
      <c r="L49" s="1052"/>
      <c r="M49" s="1052"/>
      <c r="N49" s="1052"/>
      <c r="O49" s="1053"/>
    </row>
    <row r="51" ht="12.75">
      <c r="F51" s="170"/>
    </row>
  </sheetData>
  <sheetProtection/>
  <mergeCells count="58"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  <mergeCell ref="F3:L3"/>
    <mergeCell ref="A4:F4"/>
    <mergeCell ref="G4:H5"/>
    <mergeCell ref="I4:I5"/>
    <mergeCell ref="J4:J5"/>
    <mergeCell ref="K4:K5"/>
    <mergeCell ref="L4:L5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N7:O7"/>
    <mergeCell ref="A8:F9"/>
    <mergeCell ref="G8:I8"/>
    <mergeCell ref="J8:L8"/>
    <mergeCell ref="N8:O8"/>
    <mergeCell ref="G9:I9"/>
    <mergeCell ref="J9:L9"/>
    <mergeCell ref="N9:O9"/>
    <mergeCell ref="A10:A12"/>
    <mergeCell ref="B10:B12"/>
    <mergeCell ref="C10:F11"/>
    <mergeCell ref="G10:O10"/>
    <mergeCell ref="G11:I11"/>
    <mergeCell ref="J11:L11"/>
    <mergeCell ref="M11:O11"/>
    <mergeCell ref="C13:O13"/>
    <mergeCell ref="A43:O43"/>
    <mergeCell ref="A44:B44"/>
    <mergeCell ref="C44:E44"/>
    <mergeCell ref="G44:H44"/>
    <mergeCell ref="J44:K44"/>
    <mergeCell ref="M44:N44"/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526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63"/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5"/>
    </row>
    <row r="2" spans="1:17" ht="24.75" customHeight="1">
      <c r="A2" s="1166" t="s">
        <v>534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8"/>
    </row>
    <row r="3" spans="1:17" s="169" customFormat="1" ht="17.25" customHeight="1">
      <c r="A3" s="1157" t="s">
        <v>465</v>
      </c>
      <c r="B3" s="1158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60"/>
    </row>
    <row r="4" spans="1:17" s="169" customFormat="1" ht="14.25" customHeight="1">
      <c r="A4" s="1157" t="s">
        <v>17</v>
      </c>
      <c r="B4" s="1158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60"/>
    </row>
    <row r="5" spans="1:17" s="169" customFormat="1" ht="14.25" customHeight="1">
      <c r="A5" s="1157" t="s">
        <v>200</v>
      </c>
      <c r="B5" s="1158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60"/>
    </row>
    <row r="6" spans="1:17" s="169" customFormat="1" ht="12.75" customHeight="1" thickBot="1">
      <c r="A6" s="1161" t="s">
        <v>468</v>
      </c>
      <c r="B6" s="1162"/>
      <c r="C6" s="1159"/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60"/>
    </row>
    <row r="7" spans="1:17" ht="51" customHeight="1" thickBot="1">
      <c r="A7" s="503" t="s">
        <v>0</v>
      </c>
      <c r="B7" s="504" t="s">
        <v>1</v>
      </c>
      <c r="C7" s="505" t="s">
        <v>535</v>
      </c>
      <c r="D7" s="504" t="s">
        <v>536</v>
      </c>
      <c r="E7" s="504" t="s">
        <v>537</v>
      </c>
      <c r="F7" s="504" t="s">
        <v>538</v>
      </c>
      <c r="G7" s="504" t="s">
        <v>539</v>
      </c>
      <c r="H7" s="506" t="s">
        <v>535</v>
      </c>
      <c r="I7" s="504" t="s">
        <v>540</v>
      </c>
      <c r="J7" s="507" t="s">
        <v>541</v>
      </c>
      <c r="K7" s="508" t="s">
        <v>538</v>
      </c>
      <c r="L7" s="509" t="s">
        <v>539</v>
      </c>
      <c r="M7" s="510" t="s">
        <v>535</v>
      </c>
      <c r="N7" s="504" t="s">
        <v>542</v>
      </c>
      <c r="O7" s="504" t="s">
        <v>543</v>
      </c>
      <c r="P7" s="504" t="s">
        <v>538</v>
      </c>
      <c r="Q7" s="511" t="s">
        <v>539</v>
      </c>
    </row>
    <row r="8" spans="1:17" s="116" customFormat="1" ht="15">
      <c r="A8" s="512">
        <v>1</v>
      </c>
      <c r="B8" s="513"/>
      <c r="C8" s="514"/>
      <c r="D8" s="513"/>
      <c r="E8" s="515"/>
      <c r="F8" s="516"/>
      <c r="G8" s="517"/>
      <c r="H8" s="514"/>
      <c r="I8" s="513"/>
      <c r="J8" s="515"/>
      <c r="K8" s="516"/>
      <c r="L8" s="517"/>
      <c r="M8" s="514"/>
      <c r="N8" s="513"/>
      <c r="O8" s="515"/>
      <c r="P8" s="516"/>
      <c r="Q8" s="518"/>
    </row>
    <row r="9" spans="1:17" s="116" customFormat="1" ht="15">
      <c r="A9" s="512">
        <v>2</v>
      </c>
      <c r="B9" s="513"/>
      <c r="C9" s="514"/>
      <c r="D9" s="513"/>
      <c r="E9" s="515"/>
      <c r="F9" s="516"/>
      <c r="G9" s="517"/>
      <c r="H9" s="514"/>
      <c r="I9" s="513"/>
      <c r="J9" s="515"/>
      <c r="K9" s="516"/>
      <c r="L9" s="517"/>
      <c r="M9" s="514"/>
      <c r="N9" s="513"/>
      <c r="O9" s="515"/>
      <c r="P9" s="516"/>
      <c r="Q9" s="518"/>
    </row>
    <row r="10" spans="1:17" s="116" customFormat="1" ht="15">
      <c r="A10" s="512">
        <v>3</v>
      </c>
      <c r="B10" s="513"/>
      <c r="C10" s="514"/>
      <c r="D10" s="513"/>
      <c r="E10" s="515"/>
      <c r="F10" s="516"/>
      <c r="G10" s="517"/>
      <c r="H10" s="514"/>
      <c r="I10" s="513"/>
      <c r="J10" s="515"/>
      <c r="K10" s="516"/>
      <c r="L10" s="517"/>
      <c r="M10" s="514"/>
      <c r="N10" s="513"/>
      <c r="O10" s="515"/>
      <c r="P10" s="516"/>
      <c r="Q10" s="518"/>
    </row>
    <row r="11" spans="1:17" s="116" customFormat="1" ht="15">
      <c r="A11" s="512">
        <v>4</v>
      </c>
      <c r="B11" s="513"/>
      <c r="C11" s="514"/>
      <c r="D11" s="513"/>
      <c r="E11" s="515"/>
      <c r="F11" s="516"/>
      <c r="G11" s="517"/>
      <c r="H11" s="514"/>
      <c r="I11" s="513"/>
      <c r="J11" s="515"/>
      <c r="K11" s="516"/>
      <c r="L11" s="517"/>
      <c r="M11" s="514"/>
      <c r="N11" s="513"/>
      <c r="O11" s="515"/>
      <c r="P11" s="516"/>
      <c r="Q11" s="518"/>
    </row>
    <row r="12" spans="1:17" s="116" customFormat="1" ht="15">
      <c r="A12" s="512">
        <v>5</v>
      </c>
      <c r="B12" s="513"/>
      <c r="C12" s="514"/>
      <c r="D12" s="513"/>
      <c r="E12" s="515"/>
      <c r="F12" s="516"/>
      <c r="G12" s="517"/>
      <c r="H12" s="514"/>
      <c r="I12" s="513"/>
      <c r="J12" s="515"/>
      <c r="K12" s="516"/>
      <c r="L12" s="517"/>
      <c r="M12" s="514"/>
      <c r="N12" s="513"/>
      <c r="O12" s="515"/>
      <c r="P12" s="516"/>
      <c r="Q12" s="518"/>
    </row>
    <row r="13" spans="1:17" s="116" customFormat="1" ht="15">
      <c r="A13" s="512">
        <v>6</v>
      </c>
      <c r="B13" s="513"/>
      <c r="C13" s="514"/>
      <c r="D13" s="513"/>
      <c r="E13" s="515"/>
      <c r="F13" s="516"/>
      <c r="G13" s="517"/>
      <c r="H13" s="514"/>
      <c r="I13" s="513"/>
      <c r="J13" s="515"/>
      <c r="K13" s="516"/>
      <c r="L13" s="517"/>
      <c r="M13" s="514"/>
      <c r="N13" s="513"/>
      <c r="O13" s="515"/>
      <c r="P13" s="516"/>
      <c r="Q13" s="518"/>
    </row>
    <row r="14" spans="1:17" s="116" customFormat="1" ht="15">
      <c r="A14" s="512">
        <v>7</v>
      </c>
      <c r="B14" s="513"/>
      <c r="C14" s="514"/>
      <c r="D14" s="513"/>
      <c r="E14" s="515"/>
      <c r="F14" s="516"/>
      <c r="G14" s="517"/>
      <c r="H14" s="514"/>
      <c r="I14" s="513"/>
      <c r="J14" s="515"/>
      <c r="K14" s="516"/>
      <c r="L14" s="517"/>
      <c r="M14" s="514"/>
      <c r="N14" s="513"/>
      <c r="O14" s="515"/>
      <c r="P14" s="516"/>
      <c r="Q14" s="518"/>
    </row>
    <row r="15" spans="1:17" s="116" customFormat="1" ht="15">
      <c r="A15" s="512">
        <v>8</v>
      </c>
      <c r="B15" s="513"/>
      <c r="C15" s="514"/>
      <c r="D15" s="513"/>
      <c r="E15" s="515"/>
      <c r="F15" s="516"/>
      <c r="G15" s="517"/>
      <c r="H15" s="514"/>
      <c r="I15" s="513"/>
      <c r="J15" s="515"/>
      <c r="K15" s="516"/>
      <c r="L15" s="517"/>
      <c r="M15" s="514"/>
      <c r="N15" s="513"/>
      <c r="O15" s="515"/>
      <c r="P15" s="516"/>
      <c r="Q15" s="518"/>
    </row>
    <row r="16" spans="1:17" s="116" customFormat="1" ht="15">
      <c r="A16" s="512">
        <v>9</v>
      </c>
      <c r="B16" s="513"/>
      <c r="C16" s="514"/>
      <c r="D16" s="513"/>
      <c r="E16" s="515"/>
      <c r="F16" s="516"/>
      <c r="G16" s="517"/>
      <c r="H16" s="514"/>
      <c r="I16" s="513"/>
      <c r="J16" s="515"/>
      <c r="K16" s="516"/>
      <c r="L16" s="517"/>
      <c r="M16" s="514"/>
      <c r="N16" s="513"/>
      <c r="O16" s="515"/>
      <c r="P16" s="516"/>
      <c r="Q16" s="518"/>
    </row>
    <row r="17" spans="1:17" s="116" customFormat="1" ht="15">
      <c r="A17" s="512">
        <v>10</v>
      </c>
      <c r="B17" s="513"/>
      <c r="C17" s="514"/>
      <c r="D17" s="513"/>
      <c r="E17" s="515"/>
      <c r="F17" s="516"/>
      <c r="G17" s="517"/>
      <c r="H17" s="514"/>
      <c r="I17" s="513"/>
      <c r="J17" s="515"/>
      <c r="K17" s="516"/>
      <c r="L17" s="517"/>
      <c r="M17" s="514"/>
      <c r="N17" s="513"/>
      <c r="O17" s="515"/>
      <c r="P17" s="516"/>
      <c r="Q17" s="518"/>
    </row>
    <row r="18" spans="1:17" s="116" customFormat="1" ht="15">
      <c r="A18" s="512">
        <v>11</v>
      </c>
      <c r="B18" s="513"/>
      <c r="C18" s="514"/>
      <c r="D18" s="513"/>
      <c r="E18" s="515"/>
      <c r="F18" s="516"/>
      <c r="G18" s="517"/>
      <c r="H18" s="514"/>
      <c r="I18" s="513"/>
      <c r="J18" s="515"/>
      <c r="K18" s="516"/>
      <c r="L18" s="517"/>
      <c r="M18" s="514"/>
      <c r="N18" s="513"/>
      <c r="O18" s="515"/>
      <c r="P18" s="516"/>
      <c r="Q18" s="518"/>
    </row>
    <row r="19" spans="1:17" s="116" customFormat="1" ht="15">
      <c r="A19" s="512">
        <v>12</v>
      </c>
      <c r="B19" s="513"/>
      <c r="C19" s="514"/>
      <c r="D19" s="513"/>
      <c r="E19" s="515"/>
      <c r="F19" s="516"/>
      <c r="G19" s="517"/>
      <c r="H19" s="514"/>
      <c r="I19" s="513"/>
      <c r="J19" s="515"/>
      <c r="K19" s="516"/>
      <c r="L19" s="517"/>
      <c r="M19" s="514"/>
      <c r="N19" s="513"/>
      <c r="O19" s="515"/>
      <c r="P19" s="516"/>
      <c r="Q19" s="518"/>
    </row>
    <row r="20" spans="1:17" s="116" customFormat="1" ht="15">
      <c r="A20" s="512">
        <v>13</v>
      </c>
      <c r="B20" s="513"/>
      <c r="C20" s="514"/>
      <c r="D20" s="513"/>
      <c r="E20" s="515"/>
      <c r="F20" s="516"/>
      <c r="G20" s="517"/>
      <c r="H20" s="514"/>
      <c r="I20" s="513"/>
      <c r="J20" s="515"/>
      <c r="K20" s="516"/>
      <c r="L20" s="517"/>
      <c r="M20" s="514"/>
      <c r="N20" s="513"/>
      <c r="O20" s="515"/>
      <c r="P20" s="516"/>
      <c r="Q20" s="518"/>
    </row>
    <row r="21" spans="1:17" s="116" customFormat="1" ht="15">
      <c r="A21" s="512">
        <v>14</v>
      </c>
      <c r="B21" s="513"/>
      <c r="C21" s="514"/>
      <c r="D21" s="513"/>
      <c r="E21" s="515"/>
      <c r="F21" s="516"/>
      <c r="G21" s="517"/>
      <c r="H21" s="514"/>
      <c r="I21" s="513"/>
      <c r="J21" s="515"/>
      <c r="K21" s="516"/>
      <c r="L21" s="517"/>
      <c r="M21" s="514"/>
      <c r="N21" s="513"/>
      <c r="O21" s="515"/>
      <c r="P21" s="516"/>
      <c r="Q21" s="518"/>
    </row>
    <row r="22" spans="1:17" s="116" customFormat="1" ht="15.75" thickBot="1">
      <c r="A22" s="519">
        <v>15</v>
      </c>
      <c r="B22" s="520"/>
      <c r="C22" s="521"/>
      <c r="D22" s="520"/>
      <c r="E22" s="522"/>
      <c r="F22" s="523"/>
      <c r="G22" s="524"/>
      <c r="H22" s="521"/>
      <c r="I22" s="520"/>
      <c r="J22" s="522"/>
      <c r="K22" s="523"/>
      <c r="L22" s="524"/>
      <c r="M22" s="521"/>
      <c r="N22" s="520"/>
      <c r="O22" s="522"/>
      <c r="P22" s="523"/>
      <c r="Q22" s="525"/>
    </row>
    <row r="23" ht="14.25">
      <c r="A23" s="117" t="s">
        <v>544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2014-03-25T22:12:49Z</cp:lastPrinted>
  <dcterms:created xsi:type="dcterms:W3CDTF">2004-02-08T00:22:30Z</dcterms:created>
  <dcterms:modified xsi:type="dcterms:W3CDTF">2014-03-25T22:46:40Z</dcterms:modified>
  <cp:category/>
  <cp:version/>
  <cp:contentType/>
  <cp:contentStatus/>
</cp:coreProperties>
</file>