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2_2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4490" yWindow="15" windowWidth="14385" windowHeight="11640" tabRatio="933" activeTab="5"/>
  </bookViews>
  <sheets>
    <sheet name="SINAPI" sheetId="1" r:id="rId1"/>
    <sheet name="dados de entrada" sheetId="2" r:id="rId2"/>
    <sheet name="Drenagem" sheetId="3" r:id="rId3"/>
    <sheet name="Escavação" sheetId="4" r:id="rId4"/>
    <sheet name="MEMORIAL" sheetId="5" r:id="rId5"/>
    <sheet name="ORÇ" sheetId="6" r:id="rId6"/>
    <sheet name="CROFF" sheetId="7" r:id="rId7"/>
    <sheet name="PV Ø40-60" sheetId="8" r:id="rId8"/>
    <sheet name="CL Ø40-60" sheetId="9" r:id="rId9"/>
    <sheet name="PV Ø100" sheetId="10" r:id="rId10"/>
    <sheet name="BDI" sheetId="11" r:id="rId11"/>
    <sheet name="BDI-1" sheetId="12" r:id="rId12"/>
  </sheets>
  <externalReferences>
    <externalReference r:id="rId15"/>
    <externalReference r:id="rId16"/>
    <externalReference r:id="rId17"/>
  </externalReferences>
  <definedNames>
    <definedName name="_xlfn.AVERAGEIF" hidden="1">#NAME?</definedName>
    <definedName name="_xlfn.SUMIFS" hidden="1">#NAME?</definedName>
    <definedName name="_xlnm.Print_Area" localSheetId="10">'BDI'!$A$1:$C$33</definedName>
    <definedName name="_xlnm.Print_Area" localSheetId="11">'BDI-1'!$B$2:$K$32</definedName>
    <definedName name="_xlnm.Print_Area" localSheetId="8">'CL Ø40-60'!$A$1:$G$47</definedName>
    <definedName name="_xlnm.Print_Area" localSheetId="6">'CROFF'!$A$1:$J$56</definedName>
    <definedName name="_xlnm.Print_Area" localSheetId="2">'Drenagem'!$A$1:$M$32</definedName>
    <definedName name="_xlnm.Print_Area" localSheetId="3">'Escavação'!$A$1:$W$55</definedName>
    <definedName name="_xlnm.Print_Area" localSheetId="4">'MEMORIAL'!$A$1:$F$54</definedName>
    <definedName name="_xlnm.Print_Area" localSheetId="5">'ORÇ'!$A$1:$H$54</definedName>
    <definedName name="_xlnm.Print_Area" localSheetId="9">'PV Ø100'!$A$1:$F$52</definedName>
    <definedName name="_xlnm.Print_Area" localSheetId="7">'PV Ø40-60'!$A$1:$G$47</definedName>
  </definedNames>
  <calcPr fullCalcOnLoad="1"/>
</workbook>
</file>

<file path=xl/comments12.xml><?xml version="1.0" encoding="utf-8"?>
<comments xmlns="http://schemas.openxmlformats.org/spreadsheetml/2006/main">
  <authors>
    <author>c026160</author>
  </authors>
  <commentList>
    <comment ref="F6" authorId="0">
      <text>
        <r>
          <rPr>
            <b/>
            <sz val="10"/>
            <rFont val="Tahoma"/>
            <family val="2"/>
          </rPr>
          <t>Preencha com o valor</t>
        </r>
        <r>
          <rPr>
            <sz val="10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10"/>
            <rFont val="Tahoma"/>
            <family val="2"/>
          </rPr>
          <t>Preencha com o valor</t>
        </r>
        <r>
          <rPr>
            <sz val="10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10"/>
            <rFont val="Tahoma"/>
            <family val="2"/>
          </rPr>
          <t>Preencha com o valor</t>
        </r>
        <r>
          <rPr>
            <sz val="10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10"/>
            <rFont val="Tahoma"/>
            <family val="2"/>
          </rPr>
          <t>Preencha com o valor</t>
        </r>
        <r>
          <rPr>
            <sz val="10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10"/>
            <rFont val="Tahoma"/>
            <family val="2"/>
          </rPr>
          <t>Preencha com o valor</t>
        </r>
        <r>
          <rPr>
            <sz val="10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10"/>
            <rFont val="Tahoma"/>
            <family val="2"/>
          </rPr>
          <t>Preencha com o valor</t>
        </r>
        <r>
          <rPr>
            <sz val="10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0"/>
            <rFont val="Tahoma"/>
            <family val="2"/>
          </rPr>
          <t>Preencha com o valor</t>
        </r>
        <r>
          <rPr>
            <sz val="10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10"/>
            <rFont val="Tahoma"/>
            <family val="2"/>
          </rPr>
          <t>Preencha com o valor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<sst xmlns="http://schemas.openxmlformats.org/spreadsheetml/2006/main" count="1215" uniqueCount="595">
  <si>
    <t>ITEM</t>
  </si>
  <si>
    <t>DISCRIMINAÇÃO</t>
  </si>
  <si>
    <t>UND</t>
  </si>
  <si>
    <t>m2</t>
  </si>
  <si>
    <t>und</t>
  </si>
  <si>
    <t>TOTAL</t>
  </si>
  <si>
    <t>R$</t>
  </si>
  <si>
    <t>%</t>
  </si>
  <si>
    <t>1.1</t>
  </si>
  <si>
    <t>m3</t>
  </si>
  <si>
    <t>QTDADE</t>
  </si>
  <si>
    <t>DATA</t>
  </si>
  <si>
    <t>PERÍODO (MÊS)</t>
  </si>
  <si>
    <t>PROJETO:</t>
  </si>
  <si>
    <t>EQUIPAMENTO</t>
  </si>
  <si>
    <t>CARACTERÍSTICAS:</t>
  </si>
  <si>
    <t>_________________________________</t>
  </si>
  <si>
    <t>1.0</t>
  </si>
  <si>
    <t>PREÇOS DE INSUMOS</t>
  </si>
  <si>
    <t>Mês de Coleta:</t>
  </si>
  <si>
    <t>Localidade:</t>
  </si>
  <si>
    <t>FLORIANÓPOLIS</t>
  </si>
  <si>
    <t>Pesquisa:</t>
  </si>
  <si>
    <t>SINAPI</t>
  </si>
  <si>
    <t xml:space="preserve">SERVIÇO </t>
  </si>
  <si>
    <t>UNID. DE SERVIÇO</t>
  </si>
  <si>
    <t>MATERIAIS</t>
  </si>
  <si>
    <t>CONSUMO</t>
  </si>
  <si>
    <t>UNID.</t>
  </si>
  <si>
    <t>CUSTO UNIT.</t>
  </si>
  <si>
    <t>CUSTO TOTAL</t>
  </si>
  <si>
    <t>73972/002</t>
  </si>
  <si>
    <t>kg</t>
  </si>
  <si>
    <t>TOTAL MATERIAIS</t>
  </si>
  <si>
    <t>Serra circular para madeira manual</t>
  </si>
  <si>
    <t>TOTAL EQUIPAMENTOS</t>
  </si>
  <si>
    <t>MÃO-DE-OBRA</t>
  </si>
  <si>
    <t>Ajudante de Pedreiro</t>
  </si>
  <si>
    <t>Pedreiro</t>
  </si>
  <si>
    <t>SUB-TOTAL MÃO-DE-OBRA</t>
  </si>
  <si>
    <t>TOTAL MÃO-DE-OBRA</t>
  </si>
  <si>
    <t>CUSTO DIRETO TOTAL</t>
  </si>
  <si>
    <t>BDI</t>
  </si>
  <si>
    <t>CUSTO UNITÁRIO TOTAL</t>
  </si>
  <si>
    <t>CÁLCULO</t>
  </si>
  <si>
    <t>m</t>
  </si>
  <si>
    <t>SERVIÇOS INICIAIS</t>
  </si>
  <si>
    <t>2.1</t>
  </si>
  <si>
    <t>2.2</t>
  </si>
  <si>
    <t>2.3</t>
  </si>
  <si>
    <t>2.4</t>
  </si>
  <si>
    <t>3.0</t>
  </si>
  <si>
    <t>3.1</t>
  </si>
  <si>
    <t>3.2</t>
  </si>
  <si>
    <t>3.3</t>
  </si>
  <si>
    <t>3.4</t>
  </si>
  <si>
    <t>Conforme Planilha</t>
  </si>
  <si>
    <t>Estado de Santa Catarina</t>
  </si>
  <si>
    <t>Projeto:</t>
  </si>
  <si>
    <t>Data:</t>
  </si>
  <si>
    <t>Localização:</t>
  </si>
  <si>
    <t>Tubo em concreto circular</t>
  </si>
  <si>
    <t>L contr.</t>
  </si>
  <si>
    <t>Trecho</t>
  </si>
  <si>
    <t>Cotas (m)</t>
  </si>
  <si>
    <t>Distância</t>
  </si>
  <si>
    <t>Distância contr.(m)</t>
  </si>
  <si>
    <t>Declividade (m/m)</t>
  </si>
  <si>
    <t>Área contribuição (ha)</t>
  </si>
  <si>
    <t>C</t>
  </si>
  <si>
    <t>Q (m3/s)</t>
  </si>
  <si>
    <t>Diâmetro (m)</t>
  </si>
  <si>
    <t xml:space="preserve"> (PV)</t>
  </si>
  <si>
    <t>Montante</t>
  </si>
  <si>
    <t>Jusante</t>
  </si>
  <si>
    <t>trecho (m)</t>
  </si>
  <si>
    <t>Acumulada</t>
  </si>
  <si>
    <t>Calculado</t>
  </si>
  <si>
    <t>Comercial</t>
  </si>
  <si>
    <t>Tr</t>
  </si>
  <si>
    <t>n</t>
  </si>
  <si>
    <t>Cálculo</t>
  </si>
  <si>
    <t>Carlos Alberto Bley</t>
  </si>
  <si>
    <r>
      <t xml:space="preserve">Coef. De rugosidade do tubo:  </t>
    </r>
    <r>
      <rPr>
        <b/>
        <sz val="10"/>
        <rFont val="Arial"/>
        <family val="2"/>
      </rPr>
      <t>n = 0,013</t>
    </r>
  </si>
  <si>
    <t>Escavação Tubulação Ø 0,30</t>
  </si>
  <si>
    <t>EXTENSÃO [L]
(m)</t>
  </si>
  <si>
    <t>DIÂMETRO [d]
(m)</t>
  </si>
  <si>
    <t>ALTURA [H]
(m)</t>
  </si>
  <si>
    <t>DIÂMETRO 
EXTERNO [D] (m)</t>
  </si>
  <si>
    <t>LARGURA [l]
(m)</t>
  </si>
  <si>
    <t>VOLUME DE 
REATERRO [Vr] (m3)</t>
  </si>
  <si>
    <t>Escavação Tubulação</t>
  </si>
  <si>
    <t>PV</t>
  </si>
  <si>
    <t>DISTÂNCIA 
[L] 
(m)</t>
  </si>
  <si>
    <t>NÚMERO 
DE TUBOS [n]</t>
  </si>
  <si>
    <t>FOLGA [f] 
(m)</t>
  </si>
  <si>
    <t>RESUMO</t>
  </si>
  <si>
    <t>COMPRIMENTO TOTAL Ø 30</t>
  </si>
  <si>
    <t>COMPRIMENTO TOTAL Ø 40</t>
  </si>
  <si>
    <t>BOCA DE LOBO</t>
  </si>
  <si>
    <r>
      <t>VOLUME 
ESCAVAÇÃO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</si>
  <si>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DOS TUBOS [V</t>
    </r>
    <r>
      <rPr>
        <b/>
        <sz val="8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</si>
  <si>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ALTURA 
MONTANTE [H</t>
    </r>
    <r>
      <rPr>
        <b/>
        <sz val="8"/>
        <color indexed="8"/>
        <rFont val="Calibri"/>
        <family val="2"/>
      </rPr>
      <t>m</t>
    </r>
    <r>
      <rPr>
        <b/>
        <sz val="11"/>
        <color indexed="8"/>
        <rFont val="Calibri"/>
        <family val="2"/>
      </rPr>
      <t>](m)</t>
    </r>
  </si>
  <si>
    <r>
      <t>ALTURA 
JUSANTE [H</t>
    </r>
    <r>
      <rPr>
        <b/>
        <sz val="8"/>
        <color indexed="8"/>
        <rFont val="Calibri"/>
        <family val="2"/>
      </rPr>
      <t>j</t>
    </r>
    <r>
      <rPr>
        <b/>
        <sz val="11"/>
        <color indexed="8"/>
        <rFont val="Calibri"/>
        <family val="2"/>
      </rPr>
      <t>](m)</t>
    </r>
  </si>
  <si>
    <r>
      <t>MÉDIA 
ALTURA [H</t>
    </r>
    <r>
      <rPr>
        <b/>
        <sz val="8"/>
        <color indexed="8"/>
        <rFont val="Calibri"/>
        <family val="2"/>
      </rPr>
      <t>méd</t>
    </r>
    <r>
      <rPr>
        <b/>
        <sz val="11"/>
        <color indexed="8"/>
        <rFont val="Calibri"/>
        <family val="2"/>
      </rPr>
      <t>](m)</t>
    </r>
  </si>
  <si>
    <r>
      <t>VOLUME 
ESCAVAÇÃO
ATÉ 1,50 m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</si>
  <si>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DE 
REATERRO [V</t>
    </r>
    <r>
      <rPr>
        <b/>
        <sz val="8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] (m3)</t>
    </r>
  </si>
  <si>
    <t>Data</t>
  </si>
  <si>
    <t>Prefeito</t>
  </si>
  <si>
    <t>Engenheiro</t>
  </si>
  <si>
    <t>prefeitos</t>
  </si>
  <si>
    <t>município</t>
  </si>
  <si>
    <t>Município</t>
  </si>
  <si>
    <t>Balneário Camboriú</t>
  </si>
  <si>
    <t>Edson Renato Dias</t>
  </si>
  <si>
    <t>Balneário Piçarras</t>
  </si>
  <si>
    <t>Bombinhas</t>
  </si>
  <si>
    <t>Camboriú</t>
  </si>
  <si>
    <t>Luzia Lourdes Coppi Mathias</t>
  </si>
  <si>
    <t>Ilhota</t>
  </si>
  <si>
    <t>genero</t>
  </si>
  <si>
    <t>Itapema</t>
  </si>
  <si>
    <t>Itajaí</t>
  </si>
  <si>
    <t>Jandir Bellini</t>
  </si>
  <si>
    <t>Luís Alves</t>
  </si>
  <si>
    <t>Viland Bork</t>
  </si>
  <si>
    <t>Navegantes</t>
  </si>
  <si>
    <t>Roberto Carlos de Souza</t>
  </si>
  <si>
    <t>Penha</t>
  </si>
  <si>
    <t>Evandro Eredes dos Navegantes</t>
  </si>
  <si>
    <t>Porto belo</t>
  </si>
  <si>
    <t>Crea</t>
  </si>
  <si>
    <t>8.333-3</t>
  </si>
  <si>
    <t>Ralf Nordt</t>
  </si>
  <si>
    <t>Rubens Knaipp</t>
  </si>
  <si>
    <t>Carolina Fruet de Lima</t>
  </si>
  <si>
    <t>Cálculo de Escavação e Reaterro                                 Folha 01/01</t>
  </si>
  <si>
    <t>Obra:</t>
  </si>
  <si>
    <r>
      <t>VOLUME 
ESCAVAÇÃO
ACIMA DE 1,50 m [V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] (m3)</t>
    </r>
  </si>
  <si>
    <t xml:space="preserve">PREFEITURA MUNICIPAL DE </t>
  </si>
  <si>
    <t>ARGAMASSA =</t>
  </si>
  <si>
    <t>SINALIZAÇÃO</t>
  </si>
  <si>
    <t>4.1</t>
  </si>
  <si>
    <t>QUANT.</t>
  </si>
  <si>
    <t>CUSTO SERVIÇO</t>
  </si>
  <si>
    <t xml:space="preserve">MUNICÍPIO: </t>
  </si>
  <si>
    <t xml:space="preserve">Localização: </t>
  </si>
  <si>
    <t>2.5</t>
  </si>
  <si>
    <t>74209/001</t>
  </si>
  <si>
    <t>COMPOSIÇÃO</t>
  </si>
  <si>
    <t>73916/002</t>
  </si>
  <si>
    <t>102.390-2</t>
  </si>
  <si>
    <t xml:space="preserve">Nome: </t>
  </si>
  <si>
    <t xml:space="preserve">Crea: </t>
  </si>
  <si>
    <t>74223/001</t>
  </si>
  <si>
    <t>72961</t>
  </si>
  <si>
    <t xml:space="preserve">BAIRRO </t>
  </si>
  <si>
    <t>OBS. DIAMETRO EXTERNO DO TUBO CONFORME NBR-8890/2003 E ARTEC - Artefatos de Cimento Ltda</t>
  </si>
  <si>
    <t>ÁREA DE 
ESCORAMENTO (m2)</t>
  </si>
  <si>
    <t>DISTÂNCIA 
TOTAL [L] 
(m)</t>
  </si>
  <si>
    <t>2.0</t>
  </si>
  <si>
    <t>ok</t>
  </si>
  <si>
    <t>74164/001</t>
  </si>
  <si>
    <t>1.2</t>
  </si>
  <si>
    <t>LDI</t>
  </si>
  <si>
    <t>AC</t>
  </si>
  <si>
    <t>DF</t>
  </si>
  <si>
    <t>R</t>
  </si>
  <si>
    <t>I</t>
  </si>
  <si>
    <t>L</t>
  </si>
  <si>
    <t>Item</t>
  </si>
  <si>
    <t>Descrição dos custos indiretos</t>
  </si>
  <si>
    <t>Administração Central</t>
  </si>
  <si>
    <t>Pessoal Técnico e administrativo</t>
  </si>
  <si>
    <t>Comunicação, locomoçao, alimentação e hospedagem</t>
  </si>
  <si>
    <t>1.3</t>
  </si>
  <si>
    <t>Despesas gerais, aluguéis, telefone, manutenção e oper. de escritorio</t>
  </si>
  <si>
    <t>Subtotal</t>
  </si>
  <si>
    <t>Despesas Financeiros</t>
  </si>
  <si>
    <t>Despesas financeiras</t>
  </si>
  <si>
    <t>Risco</t>
  </si>
  <si>
    <t>Encargos Fiscais</t>
  </si>
  <si>
    <t>Tributos</t>
  </si>
  <si>
    <t>Lucro Planejado</t>
  </si>
  <si>
    <t>Lucro calculado e planejado</t>
  </si>
  <si>
    <t xml:space="preserve">Total apurado dos Benefícios e Despesas indiretas  </t>
  </si>
  <si>
    <t>AMFRI  Associação dos Municípios da Região da Foz do Rio Itajaí</t>
  </si>
  <si>
    <t>CREA SC  050968-0</t>
  </si>
  <si>
    <t>___________________________</t>
  </si>
  <si>
    <t>Conforme Projeto</t>
  </si>
  <si>
    <t xml:space="preserve">Carlos Alberto Bley  </t>
  </si>
  <si>
    <t>74164/004</t>
  </si>
  <si>
    <t>2.6</t>
  </si>
  <si>
    <t>2.7</t>
  </si>
  <si>
    <t>LOCALIZAÇÃO:</t>
  </si>
  <si>
    <t>MATERIAL E MÃO DE OBRA</t>
  </si>
  <si>
    <t>CUSTO UNIT</t>
  </si>
  <si>
    <t>TOTAIS (R$)</t>
  </si>
  <si>
    <t>PROJETO</t>
  </si>
  <si>
    <t>____________________________________________________________</t>
  </si>
  <si>
    <t>_________________________________________</t>
  </si>
  <si>
    <t>TOTAIS</t>
  </si>
  <si>
    <t>PRIMEIRO MÊS</t>
  </si>
  <si>
    <t>SEGUNDO MÊS</t>
  </si>
  <si>
    <t>TOTAL DO MÊS (R$)</t>
  </si>
  <si>
    <t>TOTAL ACUMULADO (R$)</t>
  </si>
  <si>
    <t>TOTAL DO MÊS (%)</t>
  </si>
  <si>
    <t>TOTAL ACUMULADO (%)</t>
  </si>
  <si>
    <t>CREA SC 050968-0</t>
  </si>
  <si>
    <t>____________________________________________________</t>
  </si>
  <si>
    <t>_______________________________</t>
  </si>
  <si>
    <r>
      <t xml:space="preserve">AMFRI </t>
    </r>
    <r>
      <rPr>
        <sz val="11"/>
        <color indexed="12"/>
        <rFont val="Arial"/>
        <family val="2"/>
      </rPr>
      <t>Associação dos Municípios da Região da Foz do Rio Itajaí</t>
    </r>
  </si>
  <si>
    <t>Placa de obra</t>
  </si>
  <si>
    <t>COMPRIMENTO TOTAL Ø 60</t>
  </si>
  <si>
    <t>Placa de Identificação de rua</t>
  </si>
  <si>
    <t>h</t>
  </si>
  <si>
    <t>Reaterro de vala com material granular reaproveitado adensado e vibrado</t>
  </si>
  <si>
    <t>Regularização e compactação de até 20 cm</t>
  </si>
  <si>
    <t>Placa regulamentadora R-1 - (Parada obrigatória)</t>
  </si>
  <si>
    <t>73764/005</t>
  </si>
  <si>
    <t>74016/001</t>
  </si>
  <si>
    <t>Aço CA-50 10,0 mm</t>
  </si>
  <si>
    <t>ALTURA MÉDIA DOS PVS =</t>
  </si>
  <si>
    <t>QUANTIDADE DE TIJOLOS =</t>
  </si>
  <si>
    <t>Tijolo cerâmico maciço 5 cm x 10 cm x 20 cm</t>
  </si>
  <si>
    <t>Argamassa pronta para revestimento externo ou interno e assentamento</t>
  </si>
  <si>
    <t>OK</t>
  </si>
  <si>
    <t>1,8 h/m²</t>
  </si>
  <si>
    <t>1,5 h/m²</t>
  </si>
  <si>
    <t>COMPATIBILIZAR O BDI COM O USADO NA ABA ORÇAMENTO</t>
  </si>
  <si>
    <r>
      <t xml:space="preserve">FAZER TODAS AS MODIFICAÇÕES INDICADAS EM </t>
    </r>
    <r>
      <rPr>
        <sz val="10"/>
        <color indexed="10"/>
        <rFont val="Arial"/>
        <family val="2"/>
      </rPr>
      <t>VERMELHO</t>
    </r>
    <r>
      <rPr>
        <sz val="10"/>
        <color indexed="13"/>
        <rFont val="Arial"/>
        <family val="2"/>
      </rPr>
      <t xml:space="preserve"> E PREENCHER O CUSTO UNITÁRIO COM OS VALORES DA TABELA SINAPI INDICADA NO </t>
    </r>
    <r>
      <rPr>
        <sz val="10"/>
        <color indexed="10"/>
        <rFont val="Arial"/>
        <family val="2"/>
      </rPr>
      <t>MÊS DE COLETA</t>
    </r>
  </si>
  <si>
    <t>Lastro de brita nº 2 apiloada (1,70 m x 1,70 m x 0,10 m)</t>
  </si>
  <si>
    <t>Laje de fundo em concreto armado, virado em betoneira, fck=20 MPa (1,70 m x 1,70 m x 0,10 m)</t>
  </si>
  <si>
    <t>FÓRMULA = SOMA DE TODOS OS LADOS DO PV*ALRURA MÉDIA DOS PVS*HORA DE SERVENTE POR M²</t>
  </si>
  <si>
    <t>FÓRMULA = SOMA DE TODOS OS LADOS DO PV*ALRURA MÉDIA DOS PVS*HORA DE PEDREIRO POR M²</t>
  </si>
  <si>
    <t>H chaminé do poço de visita =</t>
  </si>
  <si>
    <t>Escavação do poço de visita =</t>
  </si>
  <si>
    <t>73817/001</t>
  </si>
  <si>
    <t>EMBASAMENTO DE MATERIAL GRANULAR - PO DE PEDRA</t>
  </si>
  <si>
    <t>CORPO</t>
  </si>
  <si>
    <t>TAMPA</t>
  </si>
  <si>
    <t>CHAMINÉ</t>
  </si>
  <si>
    <t>TOTAL PV Ø 80</t>
  </si>
  <si>
    <t>TOTAL CL Ø 80</t>
  </si>
  <si>
    <t>TOTAL PV Ø 100</t>
  </si>
  <si>
    <t>TOTAL CL Ø 100</t>
  </si>
  <si>
    <t>TOTAL PV Ø 120</t>
  </si>
  <si>
    <t>TOTAL CL Ø 120</t>
  </si>
  <si>
    <t>TOTAL PV Ø 150</t>
  </si>
  <si>
    <t>TOTAL CL Ø 150</t>
  </si>
  <si>
    <t>COMPRIMENTO TOTAL Ø 80</t>
  </si>
  <si>
    <t>COMPRIMENTO TOTAL Ø 100</t>
  </si>
  <si>
    <t>COMPRIMENTO TOTAL Ø 120</t>
  </si>
  <si>
    <t>COMPRIMENTO TOTAL Ø 150</t>
  </si>
  <si>
    <t>H média do poço de visita Ø 80 =</t>
  </si>
  <si>
    <t>H média do poço de visita Ø 100 =</t>
  </si>
  <si>
    <t>H média do poço de visita Ø 120 =</t>
  </si>
  <si>
    <t>H média do poço de visita Ø 150 =</t>
  </si>
  <si>
    <t>TIPO
PV=1CL=2</t>
  </si>
  <si>
    <t>BOCA DE LOBO DE GAVETA</t>
  </si>
  <si>
    <t>BOCA DE BUEIRO Ø 40 cm</t>
  </si>
  <si>
    <t>BOCA DE BUEIRO DUPLO Ø 40 cm</t>
  </si>
  <si>
    <t>BOCA DE BUEIRO Ø 60 cm</t>
  </si>
  <si>
    <t>BOCA DE BUEIRO DUPLO Ø 60 cm</t>
  </si>
  <si>
    <t>BOCA DE BUEIRO Ø 80 cm</t>
  </si>
  <si>
    <t>BOCA DE BUEIRO DUPLO Ø 80 cm</t>
  </si>
  <si>
    <t>BOCA DE BUEIRO Ø 100 cm</t>
  </si>
  <si>
    <t>BOCA DE BUEIRO DUPLO Ø 100 cm</t>
  </si>
  <si>
    <t>BOCA DE BUEIRO Ø 120 cm</t>
  </si>
  <si>
    <t>BOCA DE BUEIRO DUPLO Ø 120 cm</t>
  </si>
  <si>
    <r>
      <t xml:space="preserve">Tempo de recorrencia ou retorno:  </t>
    </r>
    <r>
      <rPr>
        <b/>
        <sz val="10"/>
        <rFont val="Arial"/>
        <family val="2"/>
      </rPr>
      <t>Tr = 5 anos</t>
    </r>
  </si>
  <si>
    <t>BOCA P/BUEIRO SIMPLES TUBULAR D=0,40M</t>
  </si>
  <si>
    <t>73856/001</t>
  </si>
  <si>
    <t>BOCA PARA BUEIRO SIMPLES TUBULAR, DIAMETRO =0,60M,</t>
  </si>
  <si>
    <t>73856/002</t>
  </si>
  <si>
    <t>73856/003</t>
  </si>
  <si>
    <t>BOCA PARA BUEIRO SIMPLES TUBULAR, DIAMETRO =1,00M,</t>
  </si>
  <si>
    <t>73856/004</t>
  </si>
  <si>
    <t>BOCA PARA BUEIRO SIMPLES TUBULAR, DIAMETRO =1,20M,</t>
  </si>
  <si>
    <t>BOCA PARA BUEIRO DUPLO TUBULAR, DIAMETRO =0,40M,</t>
  </si>
  <si>
    <t>73856/006</t>
  </si>
  <si>
    <t>BOCA PARA BUEIRO DUPLO TUBULAR, DIAMETRO =0,60M,</t>
  </si>
  <si>
    <t>73856/007</t>
  </si>
  <si>
    <t>BOCA PARA BUEIRO DUPLO TUBULAR, DIAMETRO =0,80M,</t>
  </si>
  <si>
    <t>73856/008</t>
  </si>
  <si>
    <t>BOCA PARA BUEIRO DUPLO TUBULAR, DIAMETRO =1,00M,</t>
  </si>
  <si>
    <t>73856/009</t>
  </si>
  <si>
    <t>73856/010</t>
  </si>
  <si>
    <t>TOTAL PV DUPLO Ø 80</t>
  </si>
  <si>
    <t>TOTAL CL DUPLO Ø 80</t>
  </si>
  <si>
    <t>TOTAL PV DUPLO Ø 100</t>
  </si>
  <si>
    <t>TOTAL CL DUPLO Ø 100</t>
  </si>
  <si>
    <t>TOTAL PV DUPLO Ø 120</t>
  </si>
  <si>
    <t>TOTAL CL DUPLO Ø 120</t>
  </si>
  <si>
    <t>TOTAL PV DUPLO Ø 150</t>
  </si>
  <si>
    <t>TOTAL CL DUPLO Ø 150</t>
  </si>
  <si>
    <t>TOTAL PV TRIPLO Ø 80</t>
  </si>
  <si>
    <t>TOTAL CL TRIPLO Ø 80</t>
  </si>
  <si>
    <t>TOTAL PV TRIPLO Ø 100</t>
  </si>
  <si>
    <t>TOTAL CL TRIPLO Ø 100</t>
  </si>
  <si>
    <t>TOTAL PV TRIPLO Ø 120</t>
  </si>
  <si>
    <t>TOTAL CL TRIPLO Ø 120</t>
  </si>
  <si>
    <t>BOCA DE BUEIRO TRIPLO Ø 60 cm</t>
  </si>
  <si>
    <t>BOCA DE BUEIRO TRIPLO Ø 80 cm</t>
  </si>
  <si>
    <t>BOCA DE BUEIRO TRIPLO Ø 100 cm</t>
  </si>
  <si>
    <t>BOCA DE BUEIRO TRIPLO Ø 120 cm</t>
  </si>
  <si>
    <t>TOTAL PV Ø 40/60</t>
  </si>
  <si>
    <t>TOTAL CL Ø 40/60</t>
  </si>
  <si>
    <t>TOTAL PV DUPLO Ø 40/60</t>
  </si>
  <si>
    <t>TOTAL CL DUPLO Ø 40/60</t>
  </si>
  <si>
    <t>TOTAL PV TRIPLO Ø 40/60</t>
  </si>
  <si>
    <t>TOTAL CL TRIPLO Ø 40/60</t>
  </si>
  <si>
    <t>H média do poço de visita Ø 40/60 =</t>
  </si>
  <si>
    <t>74147/001</t>
  </si>
  <si>
    <t>CONCRETO USINADO BOMBEADO FCK=30MPA, INCLUSIVE COLOCAÇÃO, ESPALHAMENTO</t>
  </si>
  <si>
    <t>74138/004</t>
  </si>
  <si>
    <t>74254/002</t>
  </si>
  <si>
    <t>73942/001</t>
  </si>
  <si>
    <t>CÓDIGO</t>
  </si>
  <si>
    <t>UNIDADE</t>
  </si>
  <si>
    <t>PLACA DE OBRA EM CHAPA DE ACO GALVANIZADO</t>
  </si>
  <si>
    <t>M2</t>
  </si>
  <si>
    <t>M3</t>
  </si>
  <si>
    <t>ESCAVACAO MEC DE VALA NAO ESCORADA EM MATERIAL DE 1A CATEGORIA COM PR</t>
  </si>
  <si>
    <t>OFUNDIDADE DE 1,5 ATE 3M COM RETROESCAVADEIRA 75HP, SEM ESGOTAMENTO.</t>
  </si>
  <si>
    <t>LASTRO DE BRITA</t>
  </si>
  <si>
    <t>ESCORAMENTO - PONTALETEAMETO</t>
  </si>
  <si>
    <t>ASSENTAMENTO DE TUBOS DE CONCRETO DIAMETRO = 300MM, SIMPLES OU ARMADO,</t>
  </si>
  <si>
    <t>M</t>
  </si>
  <si>
    <t>ASSENTAMENTO DE TUBOS DE CONCRETO DIAMETRO = 400MM, SIMPLES OU ARMADO,</t>
  </si>
  <si>
    <t>ASSENTAMENTO DE TUBOS DE CONCRETO DIAMETRO = 600MM, SIMPLES OU ARMADO,</t>
  </si>
  <si>
    <t>ASSENTAMENTO DE TUBOS DE CONCRETO DIAMETRO = 800MM, SIMPLES OU ARMADO,</t>
  </si>
  <si>
    <t>ASSENTAMENTO DE TUBOS DE CONCRETO DIAMETRO = 1000MM, SIMPLES OU ARMADO</t>
  </si>
  <si>
    <t>ASSENTAMENTO DE TUBOS DE CONCRETO DIAMETRO = 1200MM, SIMPLES OU ARMADO</t>
  </si>
  <si>
    <t>ASSENTAMENTO DE TUBOS DE CONCRETO DIAMETRO = 1500MM, SIMPLES OU ARMADO</t>
  </si>
  <si>
    <t>TUBO CONCRETO SIMPLES CLASSE - PS2 PB NBR-8890 DN 300MM P/AGUAS PLUVIAIS</t>
  </si>
  <si>
    <t>TUBO CONCRETO SIMPLES CLASSE - PS2 PB NBR-8890 DN 400MM P/AGUAS PLUVIAIS</t>
  </si>
  <si>
    <t>TUBO CONCRETO ARMADO CLASSE PA-2 PB NBR-8890/2007 DN 400MM P/AGUAS PLUVIAIS</t>
  </si>
  <si>
    <t>TUBO CONCRETO ARMADO CLASSE PA-2 PB NBR-8890/2007 DN 600MM P/AGUAS PLUVIAIS</t>
  </si>
  <si>
    <t>TUBO CONCRETO SIMPLES CLASSE - PS2 PB NBR-8890 DN 600MM P/AGUAS PLUVIAIS</t>
  </si>
  <si>
    <t>TUBO CONCRETO ARMADO CLASSE PA-2 PB NBR-8890/2007 DN 800MM P/AGUAS PLUVIAIS</t>
  </si>
  <si>
    <t>TUBO CONCRETO ARMADO CLASSE PA-2 PB NBR-8890/2007 DN 1000MM P/AGUAS PLUVIAIS</t>
  </si>
  <si>
    <t>TUBO CONCRETO ARMADO CLASSE PA-2 PB NBR-8890/2007 DN 1200MM P/AGUAS PLUVIAIS</t>
  </si>
  <si>
    <t>TUBO CONCRETO ARMADO CLASSE PA-2 PB NBR-8890/2007 DN 1500MM P/AGUAS PLUVIAIS</t>
  </si>
  <si>
    <t>REATERRO DE VALA COM MATERIAL GRANULAR REAPROVEITADO ADENSADO E VIBRADO</t>
  </si>
  <si>
    <t>REATERRO DE VALA COM MATERIAL GRANULAR DE EMPRESTIMO ADENSADO E VIBRADO</t>
  </si>
  <si>
    <t>REGULARIZACAO E COMPACTACAO DE SUBLEITO ATE 20 CM DE ESPESSURA</t>
  </si>
  <si>
    <t>COLCHAO DE AREIA PARA PAVIMENTACAO EM PARALELEPIPEDO OU BLOCOS DE CONCRETO INTERTRAVADOS</t>
  </si>
  <si>
    <t>ESCAVACAO MEC VALA N ESCOR MAT 1A CAT C/RETROESCAV ATE 1,50M EXCL ESGOTAMENTO</t>
  </si>
  <si>
    <t>MEIO-FIO (GUIA) DE CONCRETO PRE-MOLDADO, DIMENSÕES 12X15X30X100CM</t>
  </si>
  <si>
    <t>MEIO-FIO EM PEDRA GRANITICA, REJUNTADO C/ARGAMASSA CIMENTO E AREIA 1:3</t>
  </si>
  <si>
    <t>74223/002</t>
  </si>
  <si>
    <t>PISO EM BLOCO SEXTAVADO 30X30CM, ESPESSURA 8CM, ASSENTADO SOBRE COLCHAO DE AREIA ESPESSURA 6CM</t>
  </si>
  <si>
    <t>73764/006</t>
  </si>
  <si>
    <t>PAVIMENTACAO EM PARALELEPIPEDO SOBRE COLCHAO DE AREIA 10CM, REJUNTADO COM AREIA</t>
  </si>
  <si>
    <t>EMBASAMENTO DE MATERIAL GRANULAR - RACHAO</t>
  </si>
  <si>
    <t>73817/002</t>
  </si>
  <si>
    <t>REGULARIZACAO E COMPACTACAO DE TERRENO, COM SOQUETE</t>
  </si>
  <si>
    <t>MATERIAL PARA ATERRO/ REATERRO (BARRO, ARGILA OU SAIBRO) - COM TRANSPORTE ATÉ 10 KM</t>
  </si>
  <si>
    <t>PINTURA DE LIGACAO COM EMULSAO RR-1C</t>
  </si>
  <si>
    <t>PINTURA DE LIGACAO COM EMULSAO RR-2C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</si>
  <si>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</si>
  <si>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</si>
  <si>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</si>
  <si>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</si>
  <si>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BASE PARA PAVIMENTACAO COM BRITA GRADUADA, INCLUSIVE COMPACTACAO</t>
  </si>
  <si>
    <t>BASE PARA PAVIMENTACAO COM BRITA CORRIDA, INCLUSIVE COMPACTACAO</t>
  </si>
  <si>
    <t>FORMA EM CHAPA DE MADEIRA COMPENSADA PLASTIFICADA 12MM, PARA ESTRUTURAS DE CONCRETO (PILARES/VIGAS/LAJES) REAPR. 5X</t>
  </si>
  <si>
    <t>LASTRO DE BRITA Nº 2 APILOADA MANUALMENTE COM MAÇO DE ATÉ 30 KG</t>
  </si>
  <si>
    <t>ARMACAO ACO CA-50, DIAM. 6,3 (1/4) À 12,5MM(1/2) -FORNECIMENTO/ CORTE(PERDA DE 10%) / DOBRA / COLOCAÇÃO.</t>
  </si>
  <si>
    <t>KG</t>
  </si>
  <si>
    <t>ARMACAO ACO CA-50 DIAM.16,0 (5/8) À 25,0MM (1) - FORNECIMENTO/ CORTE(PERDA DE 10%) / DOBRA / COLOCAÇÃO.</t>
  </si>
  <si>
    <t>74254/001</t>
  </si>
  <si>
    <t>ARMACAO DE ACO CA-60 DIAM.7,0 A 8,0MM - FORNECIMENTO / CORTE (C/ PERDA DE 10%) / DOBRA / COLOCACAO.</t>
  </si>
  <si>
    <t>ARMACAO DE ACO CA-60 DIAM. 3,4 A 6,0MM.- FORNECIMENTO / CORTE (C/PERDA DE 10%) / DOBRA / COLOCAÇÃO.</t>
  </si>
  <si>
    <t>73942/002</t>
  </si>
  <si>
    <t>CONCRETO ESTRUTURAL FCK=20MPA, VIRADO EM BETONEIRA, NA OBRA, SEM LANÇAMENTO</t>
  </si>
  <si>
    <t>CONCRETO USINADO BOMBEADO FCK=20MPA, INCLUSIVE COLOCAÇÃO, ESPALHAMENTO E ACABAMENTO.</t>
  </si>
  <si>
    <t>74138/002</t>
  </si>
  <si>
    <t>CONCRETO USINADO BOMBEADO FCK=25MPA, INCLUSIVE COLOCAÇÃO, ESPALHAMENTO E ACABAMENTO.</t>
  </si>
  <si>
    <t>74138/003</t>
  </si>
  <si>
    <t>ACO CA-50 1/4" (6,35 MM)</t>
  </si>
  <si>
    <t>ACO CA-50 3/8" (9,52 MM)</t>
  </si>
  <si>
    <t>TIJOLO CERAMICO MACICO 5 X 10 X 20CM</t>
  </si>
  <si>
    <t>ARGAMASSA PRONTA PARA REVESTIMENTO EXTERNO OU INTERNO</t>
  </si>
  <si>
    <t>TAMPAO FOFO ARTICULADO 83KG CARGA MAX 30000KG DIAM ABERT 600MM P/ POCO VISITA DE REDE AGUA PLUVIAL, ESGOTO ETC</t>
  </si>
  <si>
    <t>AJUDANTE DE PEDREIRO</t>
  </si>
  <si>
    <t>H</t>
  </si>
  <si>
    <t>PEDREIRO</t>
  </si>
  <si>
    <t>PLACA ESMALTADA PARA IDENTIFICAÇÃO NR DE RUA, DIMENSÕES 45X25CM</t>
  </si>
  <si>
    <t>SINALIZACAO - PLACA OCTOGONAL COM L=25 CM - GT/GT PLACA REGUMENTADORA R-1 - (Parada obrigatória)</t>
  </si>
  <si>
    <t>BOCA DE BUEIRO TRIPLO Ø 40 cm</t>
  </si>
  <si>
    <t>un</t>
  </si>
  <si>
    <t xml:space="preserve">Concreto armado, virado em betoneira, fck=20 MPa (1,20 m x 1,20 m x 0,15 m) </t>
  </si>
  <si>
    <t>TERCEIRO MÊS</t>
  </si>
  <si>
    <t>PAVIMENTACAO EM BLOCOS INTERTRAVADOS DE CONCRETO, ESPESSURA 8CM, FCK 3,5MPA, ASSENTADOS SOBRE COLCHAO DE AREIA.</t>
  </si>
  <si>
    <t>PAVIMENTACAO EM BLOCOS INTERTRAVADOS DE CONCRETO, ESPESSURA 10CM, FCK 3,5MPA, ASSENTADOS SOBRE COLCHAO DE AREIA.</t>
  </si>
  <si>
    <t>Memorial de Cálculo</t>
  </si>
  <si>
    <t>Folha 01/01</t>
  </si>
  <si>
    <t>BDI =</t>
  </si>
  <si>
    <t>2.8</t>
  </si>
  <si>
    <t>Orçamento Estimativo</t>
  </si>
  <si>
    <t>Cronograma Físico-Financeiro</t>
  </si>
  <si>
    <t>2.9</t>
  </si>
  <si>
    <t>2.10</t>
  </si>
  <si>
    <t>Conforme Planilha e projeto</t>
  </si>
  <si>
    <t>Escoramento -  Pontaleteamento</t>
  </si>
  <si>
    <t>2.11</t>
  </si>
  <si>
    <t>MEIO FIO SARJETA NORMAL</t>
  </si>
  <si>
    <t>MEIO FIO SARJETA REBAIXADO</t>
  </si>
  <si>
    <t>BOMBINHAS</t>
  </si>
  <si>
    <t>CL1</t>
  </si>
  <si>
    <t>Leonel José Martins</t>
  </si>
  <si>
    <t>Ana Paula da Silva</t>
  </si>
  <si>
    <t>Daniel Christian Bosi</t>
  </si>
  <si>
    <t>Rodrigo Costa</t>
  </si>
  <si>
    <t>Evaldo José Guerreiro Filho</t>
  </si>
  <si>
    <t>Poço de visita  Ø 40/60 cm - simples</t>
  </si>
  <si>
    <t>2.12</t>
  </si>
  <si>
    <t>2.13</t>
  </si>
  <si>
    <t>2.14</t>
  </si>
  <si>
    <t>2.15</t>
  </si>
  <si>
    <t>2.16</t>
  </si>
  <si>
    <t>PAVIMENTAÇÃO COM LAJOTAS SEXTAVADAS</t>
  </si>
  <si>
    <t>DRENAGEM PLUVIAL</t>
  </si>
  <si>
    <t>DEMOLICAO DE CONCRETO SIMPLES</t>
  </si>
  <si>
    <t>DEINFRA - 81700</t>
  </si>
  <si>
    <t>REMOCAO E RELOCALIZACAO DE POSTES</t>
  </si>
  <si>
    <t>DEINFRA - 82150</t>
  </si>
  <si>
    <t>REMOCAO DE PAVIMENTO A PARALELEPIPEDOS</t>
  </si>
  <si>
    <t>74140/002</t>
  </si>
  <si>
    <t>CARGA, TRANSPORTE E DESCARGA MECANICA ATE 5,00 KM</t>
  </si>
  <si>
    <t>BOCA PARA BUEIRO SIMPLES TUBULAR, DIAMETRO =0,80M,</t>
  </si>
  <si>
    <t>73856/005</t>
  </si>
  <si>
    <t>74151/001</t>
  </si>
  <si>
    <t>ESCAVACAO E CARGA MATERIAL 1A CATEGORIA, UTILIZANDO TRATOR DE ESTEIRAS</t>
  </si>
  <si>
    <t>74005/001</t>
  </si>
  <si>
    <t>COMPACTACAO MECANICA, SEM CONTROLE DO GC (C/COMPACTADOR PLACA 400 KG)</t>
  </si>
  <si>
    <t>DEINFRA - 52100</t>
  </si>
  <si>
    <t>REMOCAO DE SOLOS MOLES COM TRANSPORTE 1000&lt; DMT &lt;=1200 M</t>
  </si>
  <si>
    <t>FABRICAÇÃO E APLICAÇÃO DE CONCRETO BETUMINOSO USINADO A QUENTE(CBUQ),CAP 50/70, EXCLUSIVE TRANSPORTE</t>
  </si>
  <si>
    <t>T</t>
  </si>
  <si>
    <t>ACO CA-50 5/16" (7,94 MM)</t>
  </si>
  <si>
    <t>DEINFRA - 81201</t>
  </si>
  <si>
    <t>SINALIZACAO HORIZONTAL COM TINTA RETRORREFLETIVA A BASE DE RESINA ACRILICA COM MICROESFERAS DE VIDRO</t>
  </si>
  <si>
    <t>DEINFRA - 80550</t>
  </si>
  <si>
    <t>PINTURA DE SETA E/OU DIZERES NA PISTA</t>
  </si>
  <si>
    <t>DEINFRA - 80595</t>
  </si>
  <si>
    <t>SINALIZACAO - PLACAS D = 60 CM - GT/VI</t>
  </si>
  <si>
    <t>DEINFRA - 81017</t>
  </si>
  <si>
    <t>SINALIZACAO - PLACAS DE 60 X 60 CM - GT/VI</t>
  </si>
  <si>
    <t>DEINFRA - 80900</t>
  </si>
  <si>
    <t>SINALIZACAO - PLACAS DE 100 X 100 CM - GT/VI</t>
  </si>
  <si>
    <t>DEINFRA - 81035</t>
  </si>
  <si>
    <t>SINALIZACAO - PLACAS DE 100 X 130 CM - GT/GT</t>
  </si>
  <si>
    <t>DEINFRA - 81074</t>
  </si>
  <si>
    <t>SINALIZACAO - PLACAS DE 150 X 100 CM - GT/GT</t>
  </si>
  <si>
    <t>DEINFRA - 81033</t>
  </si>
  <si>
    <t>SINALIZACAO - PLACAS DE 100 X 62 CM - GT/GT</t>
  </si>
  <si>
    <t>DEINFRA - 81251</t>
  </si>
  <si>
    <t>FORNECIMENTO E COLOCACAO DE TACHOES BI-REFLETIVOS</t>
  </si>
  <si>
    <t>SINAP - DEZEMBRO DE 2012</t>
  </si>
  <si>
    <t>BOCA PARA BUEIRO DUPLO TUBULAR, DIAMETRO =1,20M,</t>
  </si>
  <si>
    <t>SICRO - 2 S 04 910 53</t>
  </si>
  <si>
    <t>SICRO - 2 S 04 910 54</t>
  </si>
  <si>
    <t>SICRO - 4 S 06 200 02</t>
  </si>
  <si>
    <t xml:space="preserve">Engenheiro Civil - CREA SC </t>
  </si>
  <si>
    <t>3.5</t>
  </si>
  <si>
    <t>PREFEITA MUNICIPAL</t>
  </si>
  <si>
    <t>Prefeita Municipal</t>
  </si>
  <si>
    <t>83769</t>
  </si>
  <si>
    <t>COMPOSIÇÃO DE CUSTO UNITÁRIO - SINAPI</t>
  </si>
  <si>
    <t xml:space="preserve">RUA </t>
  </si>
  <si>
    <t>Boca de bueiro Ø 60 cm</t>
  </si>
  <si>
    <t>Boca de lobo</t>
  </si>
  <si>
    <t>Escavação mec. de valas em qualquer tipo de solo, 0,00 a 4,00 m</t>
  </si>
  <si>
    <t xml:space="preserve">Caixa de ligação Ø 40/60 cm - simples </t>
  </si>
  <si>
    <t>POÇO DE VISITA Ø 40/60 cm - simples</t>
  </si>
  <si>
    <t>Laje intermediária em concreto armado, virado em betoneira, fck=20 Mpa</t>
  </si>
  <si>
    <t>Concreto armado, virado em betoneira, fck=20 MPa (1,20 m x 1,20 m x 0,15 m) - (π x (0,60 m/2)² x 0,15 m)</t>
  </si>
  <si>
    <t>Tampão fofo articulado Ø60 cm</t>
  </si>
  <si>
    <t>CAIXA DE LIGAÇÃO Ø 40/60 cm - simples</t>
  </si>
  <si>
    <t>5.0</t>
  </si>
  <si>
    <t>5.1</t>
  </si>
  <si>
    <t>5.2</t>
  </si>
  <si>
    <t>CÓD. SINAPI - Jan/2014</t>
  </si>
  <si>
    <t>Fornecimento e colocação de manta geotextil 200 g/m2, largura = 30 cm</t>
  </si>
  <si>
    <t>Ø 30</t>
  </si>
  <si>
    <t>Ø 40</t>
  </si>
  <si>
    <t>Ø 60</t>
  </si>
  <si>
    <t>Carga mecanizada e remoção de excedentes com transporte até 1 km</t>
  </si>
  <si>
    <t>73881/001</t>
  </si>
  <si>
    <t xml:space="preserve">ART = </t>
  </si>
  <si>
    <t>3,80% - 4,67%</t>
  </si>
  <si>
    <t>1,02% - 1,21%</t>
  </si>
  <si>
    <t>Seguro e Garantia</t>
  </si>
  <si>
    <t>0,32% - 0,74%</t>
  </si>
  <si>
    <t>0,50% - 0,97%</t>
  </si>
  <si>
    <t>6,64% - 8,69%</t>
  </si>
  <si>
    <t>PIS</t>
  </si>
  <si>
    <t>COFINS</t>
  </si>
  <si>
    <t>ISS</t>
  </si>
  <si>
    <t xml:space="preserve"> Cálculo de Drenagem                                 Folha 01/01</t>
  </si>
  <si>
    <r>
      <t xml:space="preserve">Intensidade da chuva: </t>
    </r>
    <r>
      <rPr>
        <b/>
        <sz val="10"/>
        <rFont val="Arial"/>
        <family val="2"/>
      </rPr>
      <t>i = 84,92 mm/h</t>
    </r>
  </si>
  <si>
    <t>PV1</t>
  </si>
  <si>
    <t>Assentamento de tubos de concreto diametro de 30 cm., armado ou simples</t>
  </si>
  <si>
    <t>Tubo de concreto simples classe - PS2 - NBR-8890 de Ø 30 cm, para águas pluviais</t>
  </si>
  <si>
    <t>Assentamento de tubos de concreto diametro de 40 cm., armado ou simples</t>
  </si>
  <si>
    <t>Tubo de concreto armado classe - PA2 PB NBR-8890/2007 de Ø 40 cm, para águas pluviais</t>
  </si>
  <si>
    <t>Assentamento de tubos de concreto diametro de 60 cm., armado ou simples</t>
  </si>
  <si>
    <t>Tubo de concreto armado classe - PA2 PB NBR-8890/2007 de Ø 60 cm, para águas pluviais</t>
  </si>
  <si>
    <t>LASTRO DE 
BRITA [B]
(m3)</t>
  </si>
  <si>
    <t>Colocação de meio-fio externo (12x15x30x80) - incluindo rejunte e reaterro - fck=25Mpa</t>
  </si>
  <si>
    <t xml:space="preserve">Pavimentação com lajotas sextavadas - (30 cm x 30 cm x 8 cm) - fck=35 </t>
  </si>
  <si>
    <t>Regularização e compactação manual de terreno com soquete</t>
  </si>
  <si>
    <t>Material para aterro/reaterro (barro, argila ou saibro) - com transporte até 10 km  e = 15 cm</t>
  </si>
  <si>
    <t xml:space="preserve">Acórdão 2622/2013 – TCU </t>
  </si>
  <si>
    <t>CE GEPAD 424/2013</t>
  </si>
  <si>
    <t>Mínimo</t>
  </si>
  <si>
    <t>Médio</t>
  </si>
  <si>
    <t>Máximo</t>
  </si>
  <si>
    <t>Proposta</t>
  </si>
  <si>
    <t>AC = Taxa de Administração Central</t>
  </si>
  <si>
    <t>DF = Despesas Financeiras</t>
  </si>
  <si>
    <t>Legenda</t>
  </si>
  <si>
    <t>R = Risco</t>
  </si>
  <si>
    <t>Abaixo do mínimo</t>
  </si>
  <si>
    <t>Acima do máximo</t>
  </si>
  <si>
    <t>L = Taxa de Lucro / Remuneração</t>
  </si>
  <si>
    <t>ok!!</t>
  </si>
  <si>
    <t>I = Taxa de Incidência de Impostos (Pis/Cofins/ISS) *</t>
  </si>
  <si>
    <t>1 Quartil</t>
  </si>
  <si>
    <t>3 Quartil</t>
  </si>
  <si>
    <r>
      <t xml:space="preserve">* Para o ISS, deverão ser definido pelo tomador através de declaração informativa, conforme legislação tributária municipal, a base de cálculo e sobre esta, a respectiva alíquota do ISS, que será um percentual entre </t>
    </r>
    <r>
      <rPr>
        <b/>
        <sz val="12"/>
        <rFont val="Arial"/>
        <family val="2"/>
      </rPr>
      <t xml:space="preserve">2% </t>
    </r>
    <r>
      <rPr>
        <sz val="12"/>
        <rFont val="Arial"/>
        <family val="2"/>
      </rPr>
      <t xml:space="preserve">e </t>
    </r>
    <r>
      <rPr>
        <b/>
        <sz val="12"/>
        <rFont val="Arial"/>
        <family val="2"/>
      </rPr>
      <t>5%</t>
    </r>
    <r>
      <rPr>
        <sz val="12"/>
        <rFont val="Arial"/>
        <family val="2"/>
      </rPr>
      <t>.</t>
    </r>
  </si>
  <si>
    <t xml:space="preserve">  Fórmula de Cálculo</t>
  </si>
  <si>
    <t>Onde:</t>
  </si>
  <si>
    <t>AC: taxa de administração central;</t>
  </si>
  <si>
    <t>S: taxa de seguros;</t>
  </si>
  <si>
    <t>G: taxa de garantias;</t>
  </si>
  <si>
    <t>R: taxa de riscos;</t>
  </si>
  <si>
    <t>DF: taxa de despesas financeiras;</t>
  </si>
  <si>
    <t>L: taxa de lucro/remuneração;</t>
  </si>
  <si>
    <t xml:space="preserve">         I:  taxa de incidência de impostos (PIS, COFINS, ISS).</t>
  </si>
  <si>
    <t>v1.1</t>
  </si>
  <si>
    <t>VALORES DE BDI POR TIPO DE OBRA</t>
  </si>
  <si>
    <t>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</si>
  <si>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</si>
  <si>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</si>
  <si>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</si>
  <si>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</si>
  <si>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</si>
  <si>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</si>
  <si>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Tipo de Obra</t>
  </si>
  <si>
    <t>Despesas Financeiras</t>
  </si>
  <si>
    <t>Lucro</t>
  </si>
  <si>
    <t>Abril/2014                   PLANILHA DE COMPOSIÇÃO DO BDI                  Folha 01/01</t>
  </si>
  <si>
    <t xml:space="preserve">MERGULHÃO CAÇADOR - </t>
  </si>
  <si>
    <t>BOMBAS</t>
  </si>
  <si>
    <t>CL 2</t>
  </si>
  <si>
    <t>CL 3</t>
  </si>
  <si>
    <t>PV 2</t>
  </si>
  <si>
    <t>PV 3</t>
  </si>
  <si>
    <t>CL 4</t>
  </si>
  <si>
    <t>CL 5</t>
  </si>
  <si>
    <t>CL 6</t>
  </si>
  <si>
    <t>CL 7</t>
  </si>
  <si>
    <t>B B</t>
  </si>
  <si>
    <t>2.17</t>
  </si>
  <si>
    <t>Poço de visita  Ø 100 cm - simples</t>
  </si>
  <si>
    <t>1.687,00 m² x 0,15 m =</t>
  </si>
  <si>
    <t>POÇO DE VISITA Ø 100 cm</t>
  </si>
  <si>
    <r>
      <t>FÓRMULA = ARREDONDAR.PARA.CIMA(</t>
    </r>
    <r>
      <rPr>
        <sz val="10"/>
        <color indexed="10"/>
        <rFont val="Arial"/>
        <family val="2"/>
      </rPr>
      <t>SOMAR AS COTAS DE TODOS OS PVS DE 100 CM SOBRE O TOTAL DE PVS DE 100 CM</t>
    </r>
    <r>
      <rPr>
        <sz val="10"/>
        <rFont val="Arial"/>
        <family val="0"/>
      </rPr>
      <t>;1)+0,2</t>
    </r>
  </si>
  <si>
    <r>
      <t>FÓRMULA = (1,50 m*</t>
    </r>
    <r>
      <rPr>
        <sz val="10"/>
        <rFont val="Arial"/>
        <family val="2"/>
      </rPr>
      <t>SOMA DE TODOS OS LADOS DO PV*QUANTIDADE DE TIJOLO POR M² COM ARGAMASSA)-QUANTIDADE DE TIJOLOS NA ÁREA DOS TUBOS PRINCIPAIS</t>
    </r>
  </si>
  <si>
    <t>FÓRMULA = QUANTIDADE DE TIJOLOS*25%</t>
  </si>
  <si>
    <t>Lastro de brita nº 2 apiloada (2,30 m x 1,70 m x 0,10 m)</t>
  </si>
  <si>
    <t>m²</t>
  </si>
  <si>
    <t>tijolos</t>
  </si>
  <si>
    <t>Laje de fundo em concreto armado, virado em betoneira, fck=20 MPa (2,30 m x 1,70 m x 0,10 m)</t>
  </si>
  <si>
    <t>QUANTIDADE DE TIJOLOS NA ÁREA DOS TUBOS PRINCIPAIS</t>
  </si>
  <si>
    <t>ALTURA MÉDIA DA CHAMINÉ DOS PVS =</t>
  </si>
  <si>
    <t>FÓRMULA = ARREDONDAR.PARA.CIMA((ALTURA MÉDIA DOS PVS)-1,50 m-0,2 m-0,15 m-0,15 m</t>
  </si>
  <si>
    <t>Laje intermediária em concreto armado, virado em betoneira, fck=20 MPa (0,80 m x 1,20 m x 0,10 m)</t>
  </si>
  <si>
    <t>QUANTIDADE DE TIJOLOS DA CHAMINÉ =</t>
  </si>
  <si>
    <r>
      <t>FÓRMULA = ALTURA MÉDIA DA CHAMINÉ DOS PVS*</t>
    </r>
    <r>
      <rPr>
        <sz val="10"/>
        <rFont val="Arial"/>
        <family val="2"/>
      </rPr>
      <t>SOMA DE TODOS OS LADOS DA CHAMINÉ DO PV*QUANTIDADE DE TIJOLO POR M² COM ARGAMASSA</t>
    </r>
  </si>
  <si>
    <t>ARGAMASSA DA CHAMINÉ =</t>
  </si>
  <si>
    <t>Tampa em concreto armado, virado em betoneira, fck=20 MPa (1,20 m x 1,20 m x 0,15 m) - (π x (0,60 m/2)² x 0,15 m)</t>
  </si>
  <si>
    <t>Tampão fofo articulado diâmetro 600 mm para poço de visita</t>
  </si>
  <si>
    <t>FÓRMULA = SOMA DE TODOS OS LADOS DO PV*ALRURA 1,50 M DOS PVS*HORA DE SERVENTE POR M²</t>
  </si>
  <si>
    <t>FÓRMULA = SOMA DE TODOS OS LADOS DO PV*ALRURA 1,50 M DOS PVS*HORA DE PEDREIRO POR M²</t>
  </si>
  <si>
    <t xml:space="preserve">SINAPI - 01/01/2014 - COM DESONERAÇÃO </t>
  </si>
  <si>
    <t xml:space="preserve">PAVIMENTAÇÃO COM LAJOTAS SEXTAVADAS E DRENAGEM PLUVIAL </t>
  </si>
  <si>
    <t>Lastro de brita</t>
  </si>
  <si>
    <t>ART =</t>
  </si>
  <si>
    <t>ART</t>
  </si>
  <si>
    <t>5.045.098-0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</si>
</sst>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0.000"/>
    <numFmt numFmtId="174" formatCode="0.0000"/>
    <numFmt numFmtId="175" formatCode="0.00000"/>
    <numFmt numFmtId="176" formatCode="#,##0.000"/>
    <numFmt numFmtId="177" formatCode="#,##0.00000"/>
    <numFmt numFmtId="178" formatCode="&quot;PV&quot;0"/>
    <numFmt numFmtId="179" formatCode="&quot;PV&quot;\ 0"/>
    <numFmt numFmtId="180" formatCode="[$-416]dddd\,\ d&quot; de &quot;mmmm&quot; de &quot;yyyy"/>
    <numFmt numFmtId="181" formatCode="[$-416]mmmm\-yy;@"/>
    <numFmt numFmtId="182" formatCode="_-* #,##0.000_-;\-* #,##0.000_-;_-* &quot;-&quot;???_-;_-@_-"/>
    <numFmt numFmtId="183" formatCode="#,##0.00_ ;\-#,##0.00\ "/>
    <numFmt numFmtId="184" formatCode="&quot;R$ &quot;#,##0.00"/>
    <numFmt numFmtId="185" formatCode="[$-416]mmm\-yy;@"/>
    <numFmt numFmtId="186" formatCode="&quot;R$&quot;\ #,##0.00"/>
    <numFmt numFmtId="187" formatCode="_(* #,##0.0000_);_(* \(#,##0.0000\);_(* &quot;-&quot;????_);_(@_)"/>
    <numFmt numFmtId="188" formatCode="_(* #,##0.00_);_(* \(#,##0.00\);_(* &quot;-&quot;????_);_(@_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&quot;R$ &quot;#,##0.00;[Red]&quot;R$ &quot;#,##0.00"/>
    <numFmt numFmtId="194" formatCode="0.0%"/>
    <numFmt numFmtId="195" formatCode="[$-416]d\-mmm;@"/>
    <numFmt numFmtId="196" formatCode="\(mmm\)\(yy\)"/>
    <numFmt numFmtId="197" formatCode="0.0"/>
    <numFmt numFmtId="198" formatCode="0.000000000"/>
    <numFmt numFmtId="199" formatCode="0.00000000"/>
    <numFmt numFmtId="200" formatCode="0.0000000"/>
    <numFmt numFmtId="201" formatCode="0.000000"/>
    <numFmt numFmtId="202" formatCode="0.0000000000"/>
    <numFmt numFmtId="203" formatCode="#,##0.0000"/>
    <numFmt numFmtId="204" formatCode="#,##0.0"/>
    <numFmt numFmtId="205" formatCode="&quot;PV&quot;"/>
    <numFmt numFmtId="206" formatCode="&quot;PV&quot;&quot;&quot;"/>
    <numFmt numFmtId="207" formatCode="&quot;R$&quot;00,00\ #,##0.00"/>
  </numFmts>
  <fonts count="8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name val="Calibri"/>
      <family val="2"/>
    </font>
    <font>
      <sz val="16"/>
      <name val="Arial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2"/>
      <name val="Arial"/>
      <family val="2"/>
    </font>
    <font>
      <sz val="11"/>
      <name val="Calibri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sz val="11"/>
      <color indexed="10"/>
      <name val="Arial"/>
      <family val="2"/>
    </font>
    <font>
      <sz val="20"/>
      <color indexed="12"/>
      <name val="Arial"/>
      <family val="2"/>
    </font>
    <font>
      <b/>
      <sz val="13"/>
      <name val="Arial"/>
      <family val="2"/>
    </font>
    <font>
      <b/>
      <sz val="18"/>
      <color indexed="12"/>
      <name val="Arial"/>
      <family val="2"/>
    </font>
    <font>
      <sz val="12"/>
      <color indexed="48"/>
      <name val="Arial"/>
      <family val="2"/>
    </font>
    <font>
      <sz val="10"/>
      <color indexed="13"/>
      <name val="Arial"/>
      <family val="2"/>
    </font>
    <font>
      <sz val="10"/>
      <name val="Times New Roman"/>
      <family val="1"/>
    </font>
    <font>
      <sz val="12"/>
      <color indexed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</cellStyleXfs>
  <cellXfs count="124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1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17" fillId="0" borderId="0" xfId="53">
      <alignment/>
      <protection/>
    </xf>
    <xf numFmtId="0" fontId="4" fillId="0" borderId="13" xfId="56" applyFont="1" applyBorder="1" applyAlignment="1">
      <alignment/>
      <protection/>
    </xf>
    <xf numFmtId="0" fontId="5" fillId="0" borderId="14" xfId="56" applyFont="1" applyBorder="1" applyAlignment="1">
      <alignment/>
      <protection/>
    </xf>
    <xf numFmtId="0" fontId="3" fillId="0" borderId="14" xfId="56" applyFont="1" applyBorder="1" applyAlignment="1">
      <alignment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15" xfId="53" applyFont="1" applyFill="1" applyBorder="1" applyAlignment="1">
      <alignment horizontal="center" vertical="center" wrapText="1"/>
      <protection/>
    </xf>
    <xf numFmtId="0" fontId="18" fillId="0" borderId="16" xfId="53" applyFont="1" applyFill="1" applyBorder="1" applyAlignment="1">
      <alignment horizontal="center" vertical="center" wrapText="1"/>
      <protection/>
    </xf>
    <xf numFmtId="0" fontId="18" fillId="0" borderId="17" xfId="53" applyFont="1" applyFill="1" applyBorder="1" applyAlignment="1">
      <alignment horizontal="center" vertical="center" wrapText="1"/>
      <protection/>
    </xf>
    <xf numFmtId="0" fontId="18" fillId="0" borderId="18" xfId="53" applyFont="1" applyFill="1" applyBorder="1" applyAlignment="1">
      <alignment horizontal="center" vertical="center" wrapText="1"/>
      <protection/>
    </xf>
    <xf numFmtId="0" fontId="18" fillId="0" borderId="19" xfId="53" applyFont="1" applyFill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center" vertical="center" wrapText="1"/>
      <protection/>
    </xf>
    <xf numFmtId="0" fontId="18" fillId="0" borderId="21" xfId="53" applyFont="1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7" fillId="0" borderId="0" xfId="53" applyFill="1">
      <alignment/>
      <protection/>
    </xf>
    <xf numFmtId="178" fontId="17" fillId="0" borderId="0" xfId="53" applyNumberFormat="1" applyFill="1" applyBorder="1">
      <alignment/>
      <protection/>
    </xf>
    <xf numFmtId="2" fontId="17" fillId="0" borderId="0" xfId="53" applyNumberFormat="1" applyFill="1" applyBorder="1">
      <alignment/>
      <protection/>
    </xf>
    <xf numFmtId="2" fontId="17" fillId="0" borderId="24" xfId="53" applyNumberFormat="1" applyFill="1" applyBorder="1">
      <alignment/>
      <protection/>
    </xf>
    <xf numFmtId="2" fontId="17" fillId="0" borderId="25" xfId="53" applyNumberFormat="1" applyFill="1" applyBorder="1">
      <alignment/>
      <protection/>
    </xf>
    <xf numFmtId="2" fontId="17" fillId="0" borderId="22" xfId="53" applyNumberFormat="1" applyFill="1" applyBorder="1">
      <alignment/>
      <protection/>
    </xf>
    <xf numFmtId="2" fontId="17" fillId="0" borderId="19" xfId="53" applyNumberFormat="1" applyFill="1" applyBorder="1">
      <alignment/>
      <protection/>
    </xf>
    <xf numFmtId="2" fontId="17" fillId="0" borderId="26" xfId="53" applyNumberFormat="1" applyFill="1" applyBorder="1">
      <alignment/>
      <protection/>
    </xf>
    <xf numFmtId="2" fontId="17" fillId="0" borderId="27" xfId="53" applyNumberFormat="1" applyFill="1" applyBorder="1">
      <alignment/>
      <protection/>
    </xf>
    <xf numFmtId="2" fontId="17" fillId="0" borderId="28" xfId="53" applyNumberFormat="1" applyFill="1" applyBorder="1">
      <alignment/>
      <protection/>
    </xf>
    <xf numFmtId="2" fontId="17" fillId="0" borderId="24" xfId="53" applyNumberFormat="1" applyBorder="1">
      <alignment/>
      <protection/>
    </xf>
    <xf numFmtId="0" fontId="18" fillId="0" borderId="0" xfId="53" applyFont="1" applyFill="1" applyAlignment="1">
      <alignment horizontal="center" vertical="center"/>
      <protection/>
    </xf>
    <xf numFmtId="0" fontId="17" fillId="33" borderId="0" xfId="53" applyFill="1">
      <alignment/>
      <protection/>
    </xf>
    <xf numFmtId="0" fontId="30" fillId="0" borderId="0" xfId="53" applyFont="1">
      <alignment/>
      <protection/>
    </xf>
    <xf numFmtId="0" fontId="30" fillId="0" borderId="0" xfId="53" applyFont="1" applyBorder="1" applyAlignment="1">
      <alignment horizontal="center"/>
      <protection/>
    </xf>
    <xf numFmtId="2" fontId="30" fillId="0" borderId="0" xfId="53" applyNumberFormat="1" applyFont="1" applyBorder="1">
      <alignment/>
      <protection/>
    </xf>
    <xf numFmtId="2" fontId="30" fillId="0" borderId="29" xfId="53" applyNumberFormat="1" applyFont="1" applyBorder="1">
      <alignment/>
      <protection/>
    </xf>
    <xf numFmtId="0" fontId="17" fillId="0" borderId="30" xfId="53" applyBorder="1" applyAlignment="1">
      <alignment horizontal="center"/>
      <protection/>
    </xf>
    <xf numFmtId="2" fontId="30" fillId="0" borderId="10" xfId="53" applyNumberFormat="1" applyFont="1" applyBorder="1">
      <alignment/>
      <protection/>
    </xf>
    <xf numFmtId="0" fontId="17" fillId="0" borderId="31" xfId="53" applyBorder="1" applyAlignment="1">
      <alignment horizontal="center"/>
      <protection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181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17" fillId="0" borderId="32" xfId="53" applyNumberFormat="1" applyFill="1" applyBorder="1">
      <alignment/>
      <protection/>
    </xf>
    <xf numFmtId="0" fontId="0" fillId="33" borderId="0" xfId="0" applyFill="1" applyAlignment="1">
      <alignment/>
    </xf>
    <xf numFmtId="2" fontId="33" fillId="33" borderId="10" xfId="53" applyNumberFormat="1" applyFont="1" applyFill="1" applyBorder="1">
      <alignment/>
      <protection/>
    </xf>
    <xf numFmtId="0" fontId="18" fillId="0" borderId="33" xfId="53" applyFont="1" applyFill="1" applyBorder="1" applyAlignment="1">
      <alignment horizontal="center" vertical="center" wrapText="1"/>
      <protection/>
    </xf>
    <xf numFmtId="2" fontId="33" fillId="33" borderId="10" xfId="57" applyNumberFormat="1" applyFont="1" applyFill="1" applyBorder="1">
      <alignment/>
      <protection/>
    </xf>
    <xf numFmtId="2" fontId="33" fillId="33" borderId="27" xfId="53" applyNumberFormat="1" applyFont="1" applyFill="1" applyBorder="1">
      <alignment/>
      <protection/>
    </xf>
    <xf numFmtId="0" fontId="30" fillId="0" borderId="34" xfId="53" applyFont="1" applyBorder="1" applyAlignment="1">
      <alignment horizontal="center"/>
      <protection/>
    </xf>
    <xf numFmtId="2" fontId="9" fillId="33" borderId="35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0" fontId="0" fillId="33" borderId="36" xfId="0" applyFont="1" applyFill="1" applyBorder="1" applyAlignment="1">
      <alignment vertical="center" wrapText="1"/>
    </xf>
    <xf numFmtId="0" fontId="0" fillId="33" borderId="36" xfId="0" applyFont="1" applyFill="1" applyBorder="1" applyAlignment="1">
      <alignment horizontal="center" vertical="center"/>
    </xf>
    <xf numFmtId="179" fontId="33" fillId="33" borderId="10" xfId="53" applyNumberFormat="1" applyFont="1" applyFill="1" applyBorder="1" applyAlignment="1">
      <alignment horizontal="right"/>
      <protection/>
    </xf>
    <xf numFmtId="179" fontId="33" fillId="33" borderId="37" xfId="53" applyNumberFormat="1" applyFont="1" applyFill="1" applyBorder="1" applyAlignment="1">
      <alignment horizontal="right"/>
      <protection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9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174" fontId="2" fillId="0" borderId="0" xfId="0" applyNumberFormat="1" applyFont="1" applyAlignment="1">
      <alignment/>
    </xf>
    <xf numFmtId="171" fontId="10" fillId="0" borderId="29" xfId="0" applyNumberFormat="1" applyFont="1" applyBorder="1" applyAlignment="1">
      <alignment/>
    </xf>
    <xf numFmtId="10" fontId="10" fillId="0" borderId="30" xfId="59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71" fontId="1" fillId="0" borderId="10" xfId="0" applyNumberFormat="1" applyFont="1" applyFill="1" applyBorder="1" applyAlignment="1">
      <alignment horizontal="right"/>
    </xf>
    <xf numFmtId="10" fontId="1" fillId="0" borderId="31" xfId="59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2" fontId="0" fillId="0" borderId="0" xfId="0" applyNumberFormat="1" applyAlignment="1">
      <alignment/>
    </xf>
    <xf numFmtId="0" fontId="12" fillId="0" borderId="12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1" fontId="13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71" fontId="1" fillId="0" borderId="27" xfId="0" applyNumberFormat="1" applyFont="1" applyFill="1" applyBorder="1" applyAlignment="1">
      <alignment horizontal="right"/>
    </xf>
    <xf numFmtId="10" fontId="1" fillId="0" borderId="28" xfId="59" applyNumberFormat="1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1" xfId="0" applyFont="1" applyBorder="1" applyAlignment="1">
      <alignment horizontal="center"/>
    </xf>
    <xf numFmtId="4" fontId="10" fillId="0" borderId="41" xfId="0" applyNumberFormat="1" applyFont="1" applyBorder="1" applyAlignment="1">
      <alignment horizontal="right"/>
    </xf>
    <xf numFmtId="10" fontId="10" fillId="0" borderId="42" xfId="59" applyNumberFormat="1" applyFont="1" applyBorder="1" applyAlignment="1">
      <alignment horizontal="right"/>
    </xf>
    <xf numFmtId="0" fontId="12" fillId="0" borderId="0" xfId="0" applyFont="1" applyAlignment="1">
      <alignment/>
    </xf>
    <xf numFmtId="10" fontId="10" fillId="0" borderId="30" xfId="59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0" fontId="1" fillId="0" borderId="31" xfId="59" applyNumberFormat="1" applyFont="1" applyBorder="1" applyAlignment="1">
      <alignment horizontal="center"/>
    </xf>
    <xf numFmtId="10" fontId="10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Alignment="1">
      <alignment/>
    </xf>
    <xf numFmtId="10" fontId="0" fillId="0" borderId="0" xfId="59" applyNumberFormat="1" applyFont="1" applyAlignment="1">
      <alignment horizontal="center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16" fillId="0" borderId="44" xfId="0" applyFont="1" applyBorder="1" applyAlignment="1">
      <alignment/>
    </xf>
    <xf numFmtId="0" fontId="16" fillId="0" borderId="45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46" xfId="0" applyFont="1" applyBorder="1" applyAlignment="1">
      <alignment/>
    </xf>
    <xf numFmtId="2" fontId="30" fillId="0" borderId="10" xfId="53" applyNumberFormat="1" applyFont="1" applyFill="1" applyBorder="1">
      <alignment/>
      <protection/>
    </xf>
    <xf numFmtId="0" fontId="10" fillId="0" borderId="29" xfId="0" applyFont="1" applyBorder="1" applyAlignment="1">
      <alignment/>
    </xf>
    <xf numFmtId="4" fontId="10" fillId="0" borderId="30" xfId="0" applyNumberFormat="1" applyFont="1" applyBorder="1" applyAlignment="1">
      <alignment/>
    </xf>
    <xf numFmtId="10" fontId="1" fillId="0" borderId="28" xfId="59" applyNumberFormat="1" applyFont="1" applyBorder="1" applyAlignment="1">
      <alignment horizontal="center"/>
    </xf>
    <xf numFmtId="0" fontId="0" fillId="0" borderId="10" xfId="0" applyBorder="1" applyAlignment="1">
      <alignment/>
    </xf>
    <xf numFmtId="184" fontId="10" fillId="0" borderId="40" xfId="0" applyNumberFormat="1" applyFont="1" applyBorder="1" applyAlignment="1">
      <alignment horizontal="distributed" vertical="center"/>
    </xf>
    <xf numFmtId="0" fontId="0" fillId="0" borderId="47" xfId="0" applyFont="1" applyFill="1" applyBorder="1" applyAlignment="1">
      <alignment/>
    </xf>
    <xf numFmtId="185" fontId="2" fillId="0" borderId="14" xfId="56" applyNumberFormat="1" applyFont="1" applyBorder="1" applyAlignment="1">
      <alignment horizontal="center"/>
      <protection/>
    </xf>
    <xf numFmtId="4" fontId="4" fillId="0" borderId="1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7" fillId="0" borderId="0" xfId="53" applyNumberFormat="1">
      <alignment/>
      <protection/>
    </xf>
    <xf numFmtId="170" fontId="31" fillId="0" borderId="0" xfId="47" applyFont="1" applyBorder="1" applyAlignment="1">
      <alignment/>
    </xf>
    <xf numFmtId="184" fontId="10" fillId="0" borderId="46" xfId="0" applyNumberFormat="1" applyFont="1" applyBorder="1" applyAlignment="1">
      <alignment horizontal="distributed" vertical="center"/>
    </xf>
    <xf numFmtId="2" fontId="1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5" fillId="33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3" fillId="33" borderId="36" xfId="0" applyFont="1" applyFill="1" applyBorder="1" applyAlignment="1">
      <alignment horizontal="center" vertical="center"/>
    </xf>
    <xf numFmtId="0" fontId="17" fillId="0" borderId="48" xfId="53" applyBorder="1" applyAlignment="1">
      <alignment horizontal="center"/>
      <protection/>
    </xf>
    <xf numFmtId="39" fontId="31" fillId="0" borderId="0" xfId="47" applyNumberFormat="1" applyFont="1" applyBorder="1" applyAlignment="1">
      <alignment/>
    </xf>
    <xf numFmtId="0" fontId="17" fillId="0" borderId="0" xfId="53" applyBorder="1">
      <alignment/>
      <protection/>
    </xf>
    <xf numFmtId="2" fontId="33" fillId="33" borderId="10" xfId="53" applyNumberFormat="1" applyFont="1" applyFill="1" applyBorder="1" applyAlignment="1">
      <alignment horizontal="right"/>
      <protection/>
    </xf>
    <xf numFmtId="2" fontId="33" fillId="33" borderId="27" xfId="57" applyNumberFormat="1" applyFont="1" applyFill="1" applyBorder="1">
      <alignment/>
      <protection/>
    </xf>
    <xf numFmtId="2" fontId="30" fillId="35" borderId="10" xfId="53" applyNumberFormat="1" applyFont="1" applyFill="1" applyBorder="1">
      <alignment/>
      <protection/>
    </xf>
    <xf numFmtId="2" fontId="30" fillId="36" borderId="10" xfId="53" applyNumberFormat="1" applyFont="1" applyFill="1" applyBorder="1">
      <alignment/>
      <protection/>
    </xf>
    <xf numFmtId="2" fontId="30" fillId="37" borderId="10" xfId="53" applyNumberFormat="1" applyFont="1" applyFill="1" applyBorder="1">
      <alignment/>
      <protection/>
    </xf>
    <xf numFmtId="2" fontId="30" fillId="38" borderId="10" xfId="53" applyNumberFormat="1" applyFont="1" applyFill="1" applyBorder="1">
      <alignment/>
      <protection/>
    </xf>
    <xf numFmtId="2" fontId="30" fillId="39" borderId="10" xfId="53" applyNumberFormat="1" applyFont="1" applyFill="1" applyBorder="1">
      <alignment/>
      <protection/>
    </xf>
    <xf numFmtId="2" fontId="30" fillId="40" borderId="10" xfId="53" applyNumberFormat="1" applyFont="1" applyFill="1" applyBorder="1">
      <alignment/>
      <protection/>
    </xf>
    <xf numFmtId="1" fontId="33" fillId="33" borderId="10" xfId="53" applyNumberFormat="1" applyFont="1" applyFill="1" applyBorder="1" applyAlignment="1">
      <alignment horizontal="center"/>
      <protection/>
    </xf>
    <xf numFmtId="1" fontId="33" fillId="33" borderId="27" xfId="53" applyNumberFormat="1" applyFont="1" applyFill="1" applyBorder="1" applyAlignment="1">
      <alignment horizontal="center"/>
      <protection/>
    </xf>
    <xf numFmtId="2" fontId="30" fillId="0" borderId="49" xfId="53" applyNumberFormat="1" applyFont="1" applyBorder="1">
      <alignment/>
      <protection/>
    </xf>
    <xf numFmtId="2" fontId="30" fillId="39" borderId="27" xfId="53" applyNumberFormat="1" applyFont="1" applyFill="1" applyBorder="1">
      <alignment/>
      <protection/>
    </xf>
    <xf numFmtId="49" fontId="1" fillId="0" borderId="37" xfId="0" applyNumberFormat="1" applyFont="1" applyFill="1" applyBorder="1" applyAlignment="1">
      <alignment horizontal="center"/>
    </xf>
    <xf numFmtId="178" fontId="33" fillId="33" borderId="27" xfId="53" applyNumberFormat="1" applyFont="1" applyFill="1" applyBorder="1" applyAlignment="1">
      <alignment horizontal="right"/>
      <protection/>
    </xf>
    <xf numFmtId="178" fontId="33" fillId="33" borderId="24" xfId="53" applyNumberFormat="1" applyFont="1" applyFill="1" applyBorder="1" applyAlignment="1">
      <alignment horizontal="right"/>
      <protection/>
    </xf>
    <xf numFmtId="184" fontId="4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7" fillId="35" borderId="30" xfId="53" applyFill="1" applyBorder="1" applyAlignment="1">
      <alignment horizontal="center"/>
      <protection/>
    </xf>
    <xf numFmtId="0" fontId="17" fillId="35" borderId="31" xfId="53" applyFill="1" applyBorder="1" applyAlignment="1">
      <alignment horizontal="center"/>
      <protection/>
    </xf>
    <xf numFmtId="0" fontId="17" fillId="36" borderId="31" xfId="53" applyFill="1" applyBorder="1" applyAlignment="1">
      <alignment horizontal="center"/>
      <protection/>
    </xf>
    <xf numFmtId="0" fontId="17" fillId="37" borderId="31" xfId="53" applyFill="1" applyBorder="1" applyAlignment="1">
      <alignment horizontal="center"/>
      <protection/>
    </xf>
    <xf numFmtId="0" fontId="17" fillId="38" borderId="31" xfId="53" applyFill="1" applyBorder="1" applyAlignment="1">
      <alignment horizontal="center"/>
      <protection/>
    </xf>
    <xf numFmtId="0" fontId="17" fillId="39" borderId="31" xfId="53" applyFill="1" applyBorder="1" applyAlignment="1">
      <alignment horizontal="center"/>
      <protection/>
    </xf>
    <xf numFmtId="0" fontId="17" fillId="40" borderId="31" xfId="53" applyFill="1" applyBorder="1" applyAlignment="1">
      <alignment horizontal="center"/>
      <protection/>
    </xf>
    <xf numFmtId="0" fontId="17" fillId="39" borderId="28" xfId="53" applyFill="1" applyBorder="1" applyAlignment="1">
      <alignment horizontal="center"/>
      <protection/>
    </xf>
    <xf numFmtId="2" fontId="30" fillId="39" borderId="49" xfId="53" applyNumberFormat="1" applyFont="1" applyFill="1" applyBorder="1">
      <alignment/>
      <protection/>
    </xf>
    <xf numFmtId="0" fontId="17" fillId="39" borderId="48" xfId="53" applyFill="1" applyBorder="1" applyAlignment="1">
      <alignment horizontal="center"/>
      <protection/>
    </xf>
    <xf numFmtId="0" fontId="2" fillId="0" borderId="50" xfId="0" applyFont="1" applyBorder="1" applyAlignment="1">
      <alignment horizontal="left"/>
    </xf>
    <xf numFmtId="39" fontId="31" fillId="0" borderId="51" xfId="47" applyNumberFormat="1" applyFont="1" applyBorder="1" applyAlignment="1">
      <alignment/>
    </xf>
    <xf numFmtId="39" fontId="31" fillId="0" borderId="52" xfId="47" applyNumberFormat="1" applyFont="1" applyBorder="1" applyAlignment="1">
      <alignment/>
    </xf>
    <xf numFmtId="0" fontId="17" fillId="35" borderId="53" xfId="53" applyFill="1" applyBorder="1" applyAlignment="1">
      <alignment horizontal="center"/>
      <protection/>
    </xf>
    <xf numFmtId="39" fontId="31" fillId="0" borderId="54" xfId="47" applyNumberFormat="1" applyFont="1" applyBorder="1" applyAlignment="1">
      <alignment/>
    </xf>
    <xf numFmtId="39" fontId="31" fillId="0" borderId="32" xfId="47" applyNumberFormat="1" applyFont="1" applyBorder="1" applyAlignment="1">
      <alignment/>
    </xf>
    <xf numFmtId="4" fontId="30" fillId="35" borderId="29" xfId="53" applyNumberFormat="1" applyFont="1" applyFill="1" applyBorder="1">
      <alignment/>
      <protection/>
    </xf>
    <xf numFmtId="39" fontId="31" fillId="0" borderId="55" xfId="47" applyNumberFormat="1" applyFont="1" applyBorder="1" applyAlignment="1">
      <alignment/>
    </xf>
    <xf numFmtId="39" fontId="31" fillId="0" borderId="56" xfId="47" applyNumberFormat="1" applyFont="1" applyBorder="1" applyAlignment="1">
      <alignment/>
    </xf>
    <xf numFmtId="0" fontId="30" fillId="0" borderId="11" xfId="53" applyFont="1" applyBorder="1" applyAlignment="1">
      <alignment/>
      <protection/>
    </xf>
    <xf numFmtId="0" fontId="30" fillId="0" borderId="17" xfId="53" applyFont="1" applyBorder="1" applyAlignment="1">
      <alignment/>
      <protection/>
    </xf>
    <xf numFmtId="0" fontId="30" fillId="0" borderId="57" xfId="53" applyFont="1" applyBorder="1" applyAlignment="1">
      <alignment/>
      <protection/>
    </xf>
    <xf numFmtId="0" fontId="30" fillId="0" borderId="25" xfId="53" applyFont="1" applyBorder="1" applyAlignment="1">
      <alignment/>
      <protection/>
    </xf>
    <xf numFmtId="0" fontId="30" fillId="0" borderId="58" xfId="53" applyFont="1" applyBorder="1" applyAlignment="1">
      <alignment/>
      <protection/>
    </xf>
    <xf numFmtId="39" fontId="31" fillId="0" borderId="35" xfId="47" applyNumberFormat="1" applyFont="1" applyBorder="1" applyAlignment="1">
      <alignment/>
    </xf>
    <xf numFmtId="184" fontId="43" fillId="0" borderId="31" xfId="0" applyNumberFormat="1" applyFont="1" applyFill="1" applyBorder="1" applyAlignment="1">
      <alignment horizontal="right"/>
    </xf>
    <xf numFmtId="0" fontId="10" fillId="0" borderId="59" xfId="0" applyFont="1" applyBorder="1" applyAlignment="1">
      <alignment horizontal="center"/>
    </xf>
    <xf numFmtId="170" fontId="0" fillId="0" borderId="0" xfId="0" applyNumberFormat="1" applyAlignment="1">
      <alignment/>
    </xf>
    <xf numFmtId="0" fontId="0" fillId="0" borderId="49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184" fontId="0" fillId="0" borderId="0" xfId="0" applyNumberFormat="1" applyAlignment="1">
      <alignment horizontal="right"/>
    </xf>
    <xf numFmtId="0" fontId="12" fillId="0" borderId="39" xfId="0" applyFont="1" applyBorder="1" applyAlignment="1">
      <alignment horizontal="left"/>
    </xf>
    <xf numFmtId="4" fontId="4" fillId="0" borderId="61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35" fillId="0" borderId="39" xfId="0" applyFont="1" applyBorder="1" applyAlignment="1">
      <alignment/>
    </xf>
    <xf numFmtId="1" fontId="33" fillId="41" borderId="10" xfId="53" applyNumberFormat="1" applyFont="1" applyFill="1" applyBorder="1" applyAlignment="1">
      <alignment horizontal="center"/>
      <protection/>
    </xf>
    <xf numFmtId="2" fontId="33" fillId="41" borderId="10" xfId="53" applyNumberFormat="1" applyFont="1" applyFill="1" applyBorder="1">
      <alignment/>
      <protection/>
    </xf>
    <xf numFmtId="2" fontId="33" fillId="41" borderId="10" xfId="53" applyNumberFormat="1" applyFont="1" applyFill="1" applyBorder="1" applyAlignment="1">
      <alignment horizontal="right"/>
      <protection/>
    </xf>
    <xf numFmtId="0" fontId="17" fillId="41" borderId="0" xfId="53" applyFill="1">
      <alignment/>
      <protection/>
    </xf>
    <xf numFmtId="4" fontId="30" fillId="0" borderId="19" xfId="53" applyNumberFormat="1" applyFont="1" applyBorder="1">
      <alignment/>
      <protection/>
    </xf>
    <xf numFmtId="4" fontId="30" fillId="0" borderId="62" xfId="53" applyNumberFormat="1" applyFont="1" applyBorder="1">
      <alignment/>
      <protection/>
    </xf>
    <xf numFmtId="2" fontId="33" fillId="33" borderId="27" xfId="53" applyNumberFormat="1" applyFont="1" applyFill="1" applyBorder="1" applyAlignment="1">
      <alignment horizontal="right"/>
      <protection/>
    </xf>
    <xf numFmtId="0" fontId="17" fillId="33" borderId="0" xfId="53" applyFill="1" applyBorder="1">
      <alignment/>
      <protection/>
    </xf>
    <xf numFmtId="0" fontId="17" fillId="41" borderId="0" xfId="53" applyFill="1" applyBorder="1">
      <alignment/>
      <protection/>
    </xf>
    <xf numFmtId="0" fontId="0" fillId="41" borderId="0" xfId="0" applyFill="1" applyBorder="1" applyAlignment="1">
      <alignment/>
    </xf>
    <xf numFmtId="170" fontId="82" fillId="0" borderId="10" xfId="0" applyNumberFormat="1" applyFont="1" applyBorder="1" applyAlignment="1">
      <alignment/>
    </xf>
    <xf numFmtId="170" fontId="0" fillId="0" borderId="60" xfId="0" applyNumberFormat="1" applyBorder="1" applyAlignment="1">
      <alignment vertical="center"/>
    </xf>
    <xf numFmtId="0" fontId="0" fillId="0" borderId="10" xfId="0" applyFont="1" applyBorder="1" applyAlignment="1">
      <alignment horizontal="center"/>
    </xf>
    <xf numFmtId="170" fontId="0" fillId="0" borderId="0" xfId="0" applyNumberFormat="1" applyFont="1" applyAlignment="1">
      <alignment/>
    </xf>
    <xf numFmtId="0" fontId="21" fillId="41" borderId="0" xfId="0" applyFont="1" applyFill="1" applyBorder="1" applyAlignment="1">
      <alignment/>
    </xf>
    <xf numFmtId="0" fontId="0" fillId="41" borderId="0" xfId="0" applyFill="1" applyAlignment="1">
      <alignment/>
    </xf>
    <xf numFmtId="4" fontId="0" fillId="41" borderId="0" xfId="0" applyNumberFormat="1" applyFont="1" applyFill="1" applyAlignment="1">
      <alignment/>
    </xf>
    <xf numFmtId="4" fontId="0" fillId="41" borderId="0" xfId="0" applyNumberFormat="1" applyFill="1" applyAlignment="1">
      <alignment/>
    </xf>
    <xf numFmtId="4" fontId="13" fillId="41" borderId="0" xfId="0" applyNumberFormat="1" applyFont="1" applyFill="1" applyAlignment="1">
      <alignment/>
    </xf>
    <xf numFmtId="0" fontId="40" fillId="41" borderId="0" xfId="0" applyFont="1" applyFill="1" applyBorder="1" applyAlignment="1">
      <alignment/>
    </xf>
    <xf numFmtId="0" fontId="12" fillId="41" borderId="59" xfId="0" applyFont="1" applyFill="1" applyBorder="1" applyAlignment="1">
      <alignment horizontal="left"/>
    </xf>
    <xf numFmtId="0" fontId="12" fillId="41" borderId="0" xfId="0" applyFont="1" applyFill="1" applyBorder="1" applyAlignment="1">
      <alignment/>
    </xf>
    <xf numFmtId="181" fontId="2" fillId="41" borderId="62" xfId="0" applyNumberFormat="1" applyFont="1" applyFill="1" applyBorder="1" applyAlignment="1">
      <alignment horizontal="left"/>
    </xf>
    <xf numFmtId="181" fontId="2" fillId="41" borderId="0" xfId="0" applyNumberFormat="1" applyFont="1" applyFill="1" applyBorder="1" applyAlignment="1">
      <alignment/>
    </xf>
    <xf numFmtId="4" fontId="0" fillId="41" borderId="0" xfId="0" applyNumberFormat="1" applyFont="1" applyFill="1" applyBorder="1" applyAlignment="1">
      <alignment/>
    </xf>
    <xf numFmtId="4" fontId="0" fillId="41" borderId="0" xfId="0" applyNumberFormat="1" applyFill="1" applyBorder="1" applyAlignment="1">
      <alignment/>
    </xf>
    <xf numFmtId="4" fontId="13" fillId="41" borderId="0" xfId="0" applyNumberFormat="1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23" fillId="41" borderId="14" xfId="0" applyFont="1" applyFill="1" applyBorder="1" applyAlignment="1">
      <alignment horizontal="center"/>
    </xf>
    <xf numFmtId="0" fontId="23" fillId="41" borderId="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1" borderId="0" xfId="0" applyFont="1" applyFill="1" applyBorder="1" applyAlignment="1">
      <alignment/>
    </xf>
    <xf numFmtId="4" fontId="0" fillId="41" borderId="0" xfId="0" applyNumberFormat="1" applyFont="1" applyFill="1" applyBorder="1" applyAlignment="1">
      <alignment/>
    </xf>
    <xf numFmtId="4" fontId="16" fillId="41" borderId="0" xfId="0" applyNumberFormat="1" applyFont="1" applyFill="1" applyBorder="1" applyAlignment="1">
      <alignment/>
    </xf>
    <xf numFmtId="2" fontId="4" fillId="41" borderId="29" xfId="0" applyNumberFormat="1" applyFont="1" applyFill="1" applyBorder="1" applyAlignment="1">
      <alignment horizontal="right"/>
    </xf>
    <xf numFmtId="4" fontId="16" fillId="41" borderId="0" xfId="0" applyNumberFormat="1" applyFont="1" applyFill="1" applyBorder="1" applyAlignment="1">
      <alignment horizontal="center"/>
    </xf>
    <xf numFmtId="171" fontId="4" fillId="41" borderId="24" xfId="0" applyNumberFormat="1" applyFont="1" applyFill="1" applyBorder="1" applyAlignment="1">
      <alignment horizontal="center"/>
    </xf>
    <xf numFmtId="171" fontId="4" fillId="41" borderId="27" xfId="0" applyNumberFormat="1" applyFont="1" applyFill="1" applyBorder="1" applyAlignment="1">
      <alignment horizontal="right"/>
    </xf>
    <xf numFmtId="171" fontId="4" fillId="41" borderId="63" xfId="0" applyNumberFormat="1" applyFont="1" applyFill="1" applyBorder="1" applyAlignment="1">
      <alignment horizontal="left"/>
    </xf>
    <xf numFmtId="171" fontId="4" fillId="41" borderId="37" xfId="0" applyNumberFormat="1" applyFont="1" applyFill="1" applyBorder="1" applyAlignment="1">
      <alignment horizontal="center"/>
    </xf>
    <xf numFmtId="171" fontId="4" fillId="41" borderId="10" xfId="0" applyNumberFormat="1" applyFont="1" applyFill="1" applyBorder="1" applyAlignment="1">
      <alignment horizontal="right"/>
    </xf>
    <xf numFmtId="171" fontId="4" fillId="41" borderId="0" xfId="0" applyNumberFormat="1" applyFont="1" applyFill="1" applyBorder="1" applyAlignment="1">
      <alignment/>
    </xf>
    <xf numFmtId="4" fontId="0" fillId="41" borderId="0" xfId="0" applyNumberFormat="1" applyFont="1" applyFill="1" applyAlignment="1">
      <alignment/>
    </xf>
    <xf numFmtId="171" fontId="4" fillId="41" borderId="49" xfId="0" applyNumberFormat="1" applyFont="1" applyFill="1" applyBorder="1" applyAlignment="1">
      <alignment horizontal="right"/>
    </xf>
    <xf numFmtId="171" fontId="4" fillId="41" borderId="64" xfId="0" applyNumberFormat="1" applyFont="1" applyFill="1" applyBorder="1" applyAlignment="1">
      <alignment horizontal="center"/>
    </xf>
    <xf numFmtId="0" fontId="2" fillId="41" borderId="0" xfId="0" applyFont="1" applyFill="1" applyAlignment="1">
      <alignment/>
    </xf>
    <xf numFmtId="4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4" fontId="14" fillId="41" borderId="0" xfId="0" applyNumberFormat="1" applyFont="1" applyFill="1" applyAlignment="1">
      <alignment/>
    </xf>
    <xf numFmtId="171" fontId="4" fillId="41" borderId="10" xfId="0" applyNumberFormat="1" applyFont="1" applyFill="1" applyBorder="1" applyAlignment="1">
      <alignment horizontal="right"/>
    </xf>
    <xf numFmtId="8" fontId="0" fillId="41" borderId="0" xfId="0" applyNumberFormat="1" applyFont="1" applyFill="1" applyAlignment="1">
      <alignment/>
    </xf>
    <xf numFmtId="43" fontId="0" fillId="41" borderId="0" xfId="0" applyNumberFormat="1" applyFont="1" applyFill="1" applyAlignment="1">
      <alignment/>
    </xf>
    <xf numFmtId="171" fontId="4" fillId="41" borderId="27" xfId="0" applyNumberFormat="1" applyFont="1" applyFill="1" applyBorder="1" applyAlignment="1">
      <alignment horizontal="right"/>
    </xf>
    <xf numFmtId="49" fontId="1" fillId="41" borderId="54" xfId="0" applyNumberFormat="1" applyFont="1" applyFill="1" applyBorder="1" applyAlignment="1">
      <alignment horizontal="center"/>
    </xf>
    <xf numFmtId="49" fontId="1" fillId="41" borderId="37" xfId="0" applyNumberFormat="1" applyFont="1" applyFill="1" applyBorder="1" applyAlignment="1">
      <alignment horizontal="center"/>
    </xf>
    <xf numFmtId="49" fontId="1" fillId="41" borderId="32" xfId="0" applyNumberFormat="1" applyFont="1" applyFill="1" applyBorder="1" applyAlignment="1">
      <alignment horizontal="center"/>
    </xf>
    <xf numFmtId="171" fontId="4" fillId="41" borderId="50" xfId="0" applyNumberFormat="1" applyFont="1" applyFill="1" applyBorder="1" applyAlignment="1">
      <alignment horizontal="left"/>
    </xf>
    <xf numFmtId="0" fontId="1" fillId="41" borderId="24" xfId="0" applyFont="1" applyFill="1" applyBorder="1" applyAlignment="1">
      <alignment horizontal="center"/>
    </xf>
    <xf numFmtId="49" fontId="1" fillId="41" borderId="0" xfId="0" applyNumberFormat="1" applyFont="1" applyFill="1" applyBorder="1" applyAlignment="1">
      <alignment horizontal="center"/>
    </xf>
    <xf numFmtId="171" fontId="4" fillId="41" borderId="0" xfId="0" applyNumberFormat="1" applyFont="1" applyFill="1" applyBorder="1" applyAlignment="1">
      <alignment horizontal="left"/>
    </xf>
    <xf numFmtId="0" fontId="1" fillId="41" borderId="0" xfId="0" applyFont="1" applyFill="1" applyBorder="1" applyAlignment="1">
      <alignment horizontal="center"/>
    </xf>
    <xf numFmtId="171" fontId="4" fillId="41" borderId="0" xfId="0" applyNumberFormat="1" applyFont="1" applyFill="1" applyBorder="1" applyAlignment="1">
      <alignment horizontal="right"/>
    </xf>
    <xf numFmtId="171" fontId="4" fillId="41" borderId="0" xfId="0" applyNumberFormat="1" applyFont="1" applyFill="1" applyBorder="1" applyAlignment="1">
      <alignment horizontal="center"/>
    </xf>
    <xf numFmtId="4" fontId="2" fillId="41" borderId="0" xfId="0" applyNumberFormat="1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5" fillId="41" borderId="0" xfId="0" applyFont="1" applyFill="1" applyBorder="1" applyAlignment="1">
      <alignment/>
    </xf>
    <xf numFmtId="0" fontId="34" fillId="41" borderId="0" xfId="0" applyFont="1" applyFill="1" applyBorder="1" applyAlignment="1">
      <alignment vertical="center" wrapText="1"/>
    </xf>
    <xf numFmtId="0" fontId="38" fillId="41" borderId="0" xfId="0" applyFont="1" applyFill="1" applyBorder="1" applyAlignment="1">
      <alignment/>
    </xf>
    <xf numFmtId="0" fontId="35" fillId="41" borderId="0" xfId="0" applyFont="1" applyFill="1" applyBorder="1" applyAlignment="1">
      <alignment/>
    </xf>
    <xf numFmtId="0" fontId="12" fillId="41" borderId="0" xfId="0" applyFont="1" applyFill="1" applyBorder="1" applyAlignment="1">
      <alignment horizontal="center"/>
    </xf>
    <xf numFmtId="0" fontId="41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10" fontId="9" fillId="41" borderId="65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4" fontId="30" fillId="42" borderId="60" xfId="53" applyNumberFormat="1" applyFont="1" applyFill="1" applyBorder="1">
      <alignment/>
      <protection/>
    </xf>
    <xf numFmtId="2" fontId="30" fillId="42" borderId="10" xfId="53" applyNumberFormat="1" applyFont="1" applyFill="1" applyBorder="1">
      <alignment/>
      <protection/>
    </xf>
    <xf numFmtId="4" fontId="30" fillId="42" borderId="29" xfId="53" applyNumberFormat="1" applyFont="1" applyFill="1" applyBorder="1">
      <alignment/>
      <protection/>
    </xf>
    <xf numFmtId="170" fontId="82" fillId="0" borderId="0" xfId="0" applyNumberFormat="1" applyFont="1" applyBorder="1" applyAlignment="1">
      <alignment/>
    </xf>
    <xf numFmtId="170" fontId="13" fillId="0" borderId="10" xfId="0" applyNumberFormat="1" applyFont="1" applyBorder="1" applyAlignment="1">
      <alignment/>
    </xf>
    <xf numFmtId="170" fontId="13" fillId="0" borderId="49" xfId="0" applyNumberFormat="1" applyFont="1" applyBorder="1" applyAlignment="1">
      <alignment/>
    </xf>
    <xf numFmtId="170" fontId="13" fillId="0" borderId="49" xfId="0" applyNumberFormat="1" applyFont="1" applyBorder="1" applyAlignment="1">
      <alignment vertical="center"/>
    </xf>
    <xf numFmtId="170" fontId="13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33" borderId="0" xfId="0" applyFont="1" applyFill="1" applyAlignment="1">
      <alignment/>
    </xf>
    <xf numFmtId="10" fontId="10" fillId="0" borderId="53" xfId="59" applyNumberFormat="1" applyFont="1" applyBorder="1" applyAlignment="1">
      <alignment/>
    </xf>
    <xf numFmtId="184" fontId="43" fillId="0" borderId="61" xfId="0" applyNumberFormat="1" applyFont="1" applyFill="1" applyBorder="1" applyAlignment="1">
      <alignment horizontal="right"/>
    </xf>
    <xf numFmtId="0" fontId="9" fillId="41" borderId="59" xfId="0" applyFont="1" applyFill="1" applyBorder="1" applyAlignment="1">
      <alignment horizontal="center"/>
    </xf>
    <xf numFmtId="0" fontId="9" fillId="41" borderId="33" xfId="0" applyFont="1" applyFill="1" applyBorder="1" applyAlignment="1">
      <alignment horizontal="center"/>
    </xf>
    <xf numFmtId="0" fontId="9" fillId="41" borderId="66" xfId="0" applyFont="1" applyFill="1" applyBorder="1" applyAlignment="1">
      <alignment horizontal="center"/>
    </xf>
    <xf numFmtId="4" fontId="10" fillId="0" borderId="67" xfId="0" applyNumberFormat="1" applyFont="1" applyBorder="1" applyAlignment="1">
      <alignment horizontal="center"/>
    </xf>
    <xf numFmtId="184" fontId="43" fillId="0" borderId="61" xfId="0" applyNumberFormat="1" applyFont="1" applyFill="1" applyBorder="1" applyAlignment="1">
      <alignment horizontal="center"/>
    </xf>
    <xf numFmtId="10" fontId="10" fillId="0" borderId="59" xfId="59" applyNumberFormat="1" applyFont="1" applyBorder="1" applyAlignment="1">
      <alignment horizontal="center"/>
    </xf>
    <xf numFmtId="4" fontId="17" fillId="33" borderId="0" xfId="53" applyNumberFormat="1" applyFill="1" applyBorder="1">
      <alignment/>
      <protection/>
    </xf>
    <xf numFmtId="0" fontId="18" fillId="0" borderId="23" xfId="57" applyFont="1" applyFill="1" applyBorder="1" applyAlignment="1">
      <alignment horizontal="center" vertical="center" wrapText="1"/>
      <protection/>
    </xf>
    <xf numFmtId="2" fontId="33" fillId="33" borderId="31" xfId="57" applyNumberFormat="1" applyFont="1" applyFill="1" applyBorder="1">
      <alignment/>
      <protection/>
    </xf>
    <xf numFmtId="2" fontId="33" fillId="41" borderId="31" xfId="57" applyNumberFormat="1" applyFont="1" applyFill="1" applyBorder="1">
      <alignment/>
      <protection/>
    </xf>
    <xf numFmtId="2" fontId="33" fillId="33" borderId="28" xfId="57" applyNumberFormat="1" applyFont="1" applyFill="1" applyBorder="1">
      <alignment/>
      <protection/>
    </xf>
    <xf numFmtId="4" fontId="30" fillId="0" borderId="0" xfId="53" applyNumberFormat="1" applyFont="1" applyBorder="1">
      <alignment/>
      <protection/>
    </xf>
    <xf numFmtId="0" fontId="30" fillId="0" borderId="0" xfId="53" applyFont="1" applyBorder="1">
      <alignment/>
      <protection/>
    </xf>
    <xf numFmtId="4" fontId="30" fillId="0" borderId="59" xfId="53" applyNumberFormat="1" applyFont="1" applyBorder="1">
      <alignment/>
      <protection/>
    </xf>
    <xf numFmtId="0" fontId="30" fillId="0" borderId="46" xfId="53" applyFont="1" applyBorder="1" applyAlignment="1">
      <alignment/>
      <protection/>
    </xf>
    <xf numFmtId="2" fontId="17" fillId="41" borderId="0" xfId="53" applyNumberFormat="1" applyFill="1" applyBorder="1">
      <alignment/>
      <protection/>
    </xf>
    <xf numFmtId="10" fontId="1" fillId="41" borderId="31" xfId="59" applyNumberFormat="1" applyFont="1" applyFill="1" applyBorder="1" applyAlignment="1">
      <alignment/>
    </xf>
    <xf numFmtId="184" fontId="43" fillId="41" borderId="31" xfId="0" applyNumberFormat="1" applyFont="1" applyFill="1" applyBorder="1" applyAlignment="1">
      <alignment horizontal="right"/>
    </xf>
    <xf numFmtId="0" fontId="39" fillId="41" borderId="0" xfId="0" applyFont="1" applyFill="1" applyAlignment="1">
      <alignment/>
    </xf>
    <xf numFmtId="2" fontId="1" fillId="41" borderId="0" xfId="0" applyNumberFormat="1" applyFont="1" applyFill="1" applyBorder="1" applyAlignment="1">
      <alignment/>
    </xf>
    <xf numFmtId="0" fontId="15" fillId="41" borderId="0" xfId="0" applyNumberFormat="1" applyFont="1" applyFill="1" applyBorder="1" applyAlignment="1">
      <alignment horizontal="center"/>
    </xf>
    <xf numFmtId="4" fontId="15" fillId="41" borderId="0" xfId="0" applyNumberFormat="1" applyFont="1" applyFill="1" applyBorder="1" applyAlignment="1">
      <alignment/>
    </xf>
    <xf numFmtId="0" fontId="9" fillId="41" borderId="0" xfId="0" applyFont="1" applyFill="1" applyBorder="1" applyAlignment="1">
      <alignment/>
    </xf>
    <xf numFmtId="0" fontId="9" fillId="41" borderId="0" xfId="0" applyFont="1" applyFill="1" applyAlignment="1">
      <alignment/>
    </xf>
    <xf numFmtId="0" fontId="0" fillId="33" borderId="68" xfId="0" applyFill="1" applyBorder="1" applyAlignment="1">
      <alignment horizontal="center"/>
    </xf>
    <xf numFmtId="179" fontId="33" fillId="41" borderId="37" xfId="53" applyNumberFormat="1" applyFont="1" applyFill="1" applyBorder="1" applyAlignment="1">
      <alignment horizontal="right"/>
      <protection/>
    </xf>
    <xf numFmtId="179" fontId="33" fillId="41" borderId="10" xfId="53" applyNumberFormat="1" applyFont="1" applyFill="1" applyBorder="1" applyAlignment="1">
      <alignment horizontal="right"/>
      <protection/>
    </xf>
    <xf numFmtId="2" fontId="33" fillId="41" borderId="10" xfId="57" applyNumberFormat="1" applyFont="1" applyFill="1" applyBorder="1">
      <alignment/>
      <protection/>
    </xf>
    <xf numFmtId="1" fontId="33" fillId="41" borderId="49" xfId="53" applyNumberFormat="1" applyFont="1" applyFill="1" applyBorder="1" applyAlignment="1">
      <alignment horizontal="center"/>
      <protection/>
    </xf>
    <xf numFmtId="2" fontId="33" fillId="41" borderId="49" xfId="53" applyNumberFormat="1" applyFont="1" applyFill="1" applyBorder="1">
      <alignment/>
      <protection/>
    </xf>
    <xf numFmtId="2" fontId="17" fillId="33" borderId="0" xfId="53" applyNumberFormat="1" applyFill="1">
      <alignment/>
      <protection/>
    </xf>
    <xf numFmtId="171" fontId="4" fillId="41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distributed" vertical="center"/>
    </xf>
    <xf numFmtId="184" fontId="43" fillId="41" borderId="61" xfId="0" applyNumberFormat="1" applyFont="1" applyFill="1" applyBorder="1" applyAlignment="1">
      <alignment horizontal="right"/>
    </xf>
    <xf numFmtId="0" fontId="1" fillId="0" borderId="27" xfId="0" applyNumberFormat="1" applyFont="1" applyFill="1" applyBorder="1" applyAlignment="1">
      <alignment horizontal="center"/>
    </xf>
    <xf numFmtId="184" fontId="1" fillId="0" borderId="27" xfId="0" applyNumberFormat="1" applyFont="1" applyFill="1" applyBorder="1" applyAlignment="1">
      <alignment horizontal="distributed" vertical="center"/>
    </xf>
    <xf numFmtId="171" fontId="4" fillId="41" borderId="27" xfId="0" applyNumberFormat="1" applyFont="1" applyFill="1" applyBorder="1" applyAlignment="1">
      <alignment horizontal="left"/>
    </xf>
    <xf numFmtId="49" fontId="2" fillId="41" borderId="69" xfId="0" applyNumberFormat="1" applyFont="1" applyFill="1" applyBorder="1" applyAlignment="1">
      <alignment horizontal="center"/>
    </xf>
    <xf numFmtId="171" fontId="2" fillId="41" borderId="29" xfId="0" applyNumberFormat="1" applyFont="1" applyFill="1" applyBorder="1" applyAlignment="1">
      <alignment horizontal="left"/>
    </xf>
    <xf numFmtId="0" fontId="0" fillId="41" borderId="29" xfId="0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left" vertical="center"/>
    </xf>
    <xf numFmtId="184" fontId="1" fillId="41" borderId="10" xfId="0" applyNumberFormat="1" applyFont="1" applyFill="1" applyBorder="1" applyAlignment="1">
      <alignment horizontal="distributed" vertical="center"/>
    </xf>
    <xf numFmtId="49" fontId="10" fillId="0" borderId="69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84" fontId="10" fillId="0" borderId="29" xfId="0" applyNumberFormat="1" applyFont="1" applyBorder="1" applyAlignment="1">
      <alignment horizontal="distributed" vertical="center"/>
    </xf>
    <xf numFmtId="49" fontId="1" fillId="0" borderId="27" xfId="0" applyNumberFormat="1" applyFont="1" applyFill="1" applyBorder="1" applyAlignment="1">
      <alignment horizontal="center"/>
    </xf>
    <xf numFmtId="4" fontId="0" fillId="33" borderId="36" xfId="0" applyNumberFormat="1" applyFont="1" applyFill="1" applyBorder="1" applyAlignment="1">
      <alignment horizontal="right" vertical="center"/>
    </xf>
    <xf numFmtId="170" fontId="0" fillId="33" borderId="36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4" fontId="0" fillId="33" borderId="0" xfId="0" applyNumberForma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4" fontId="0" fillId="33" borderId="68" xfId="0" applyNumberFormat="1" applyFill="1" applyBorder="1" applyAlignment="1">
      <alignment horizontal="right"/>
    </xf>
    <xf numFmtId="0" fontId="0" fillId="33" borderId="68" xfId="0" applyFont="1" applyFill="1" applyBorder="1" applyAlignment="1">
      <alignment horizontal="center"/>
    </xf>
    <xf numFmtId="4" fontId="0" fillId="33" borderId="68" xfId="0" applyNumberFormat="1" applyFill="1" applyBorder="1" applyAlignment="1">
      <alignment horizontal="center"/>
    </xf>
    <xf numFmtId="171" fontId="4" fillId="41" borderId="49" xfId="0" applyNumberFormat="1" applyFont="1" applyFill="1" applyBorder="1" applyAlignment="1">
      <alignment horizontal="left"/>
    </xf>
    <xf numFmtId="49" fontId="4" fillId="41" borderId="37" xfId="0" applyNumberFormat="1" applyFont="1" applyFill="1" applyBorder="1" applyAlignment="1">
      <alignment horizontal="center"/>
    </xf>
    <xf numFmtId="49" fontId="4" fillId="41" borderId="24" xfId="0" applyNumberFormat="1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171" fontId="1" fillId="41" borderId="49" xfId="0" applyNumberFormat="1" applyFont="1" applyFill="1" applyBorder="1" applyAlignment="1">
      <alignment horizontal="left" vertical="center"/>
    </xf>
    <xf numFmtId="49" fontId="1" fillId="0" borderId="3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71" fontId="1" fillId="0" borderId="27" xfId="0" applyNumberFormat="1" applyFont="1" applyFill="1" applyBorder="1" applyAlignment="1">
      <alignment horizontal="left" vertical="center"/>
    </xf>
    <xf numFmtId="171" fontId="4" fillId="41" borderId="49" xfId="0" applyNumberFormat="1" applyFont="1" applyFill="1" applyBorder="1" applyAlignment="1">
      <alignment horizontal="right"/>
    </xf>
    <xf numFmtId="171" fontId="1" fillId="0" borderId="49" xfId="0" applyNumberFormat="1" applyFont="1" applyFill="1" applyBorder="1" applyAlignment="1">
      <alignment horizontal="left" vertical="center"/>
    </xf>
    <xf numFmtId="0" fontId="1" fillId="0" borderId="29" xfId="0" applyNumberFormat="1" applyFont="1" applyFill="1" applyBorder="1" applyAlignment="1">
      <alignment horizontal="center"/>
    </xf>
    <xf numFmtId="171" fontId="1" fillId="0" borderId="29" xfId="0" applyNumberFormat="1" applyFont="1" applyFill="1" applyBorder="1" applyAlignment="1">
      <alignment horizontal="right"/>
    </xf>
    <xf numFmtId="184" fontId="1" fillId="0" borderId="29" xfId="0" applyNumberFormat="1" applyFont="1" applyFill="1" applyBorder="1" applyAlignment="1">
      <alignment horizontal="distributed" vertical="center"/>
    </xf>
    <xf numFmtId="184" fontId="4" fillId="41" borderId="61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distributed" vertical="center"/>
    </xf>
    <xf numFmtId="10" fontId="1" fillId="0" borderId="10" xfId="59" applyNumberFormat="1" applyFont="1" applyBorder="1" applyAlignment="1">
      <alignment horizontal="center"/>
    </xf>
    <xf numFmtId="49" fontId="10" fillId="0" borderId="69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166" fontId="10" fillId="0" borderId="29" xfId="0" applyNumberFormat="1" applyFont="1" applyBorder="1" applyAlignment="1">
      <alignment horizontal="distributed" vertical="center"/>
    </xf>
    <xf numFmtId="10" fontId="10" fillId="0" borderId="29" xfId="59" applyNumberFormat="1" applyFont="1" applyBorder="1" applyAlignment="1">
      <alignment horizontal="center"/>
    </xf>
    <xf numFmtId="170" fontId="10" fillId="0" borderId="29" xfId="0" applyNumberFormat="1" applyFont="1" applyBorder="1" applyAlignment="1">
      <alignment horizontal="distributed" vertical="center"/>
    </xf>
    <xf numFmtId="166" fontId="1" fillId="0" borderId="27" xfId="0" applyNumberFormat="1" applyFont="1" applyBorder="1" applyAlignment="1">
      <alignment horizontal="distributed" vertical="center"/>
    </xf>
    <xf numFmtId="10" fontId="1" fillId="0" borderId="27" xfId="59" applyNumberFormat="1" applyFont="1" applyBorder="1" applyAlignment="1">
      <alignment horizontal="center"/>
    </xf>
    <xf numFmtId="166" fontId="1" fillId="0" borderId="49" xfId="0" applyNumberFormat="1" applyFont="1" applyBorder="1" applyAlignment="1">
      <alignment horizontal="distributed" vertical="center"/>
    </xf>
    <xf numFmtId="10" fontId="1" fillId="0" borderId="49" xfId="59" applyNumberFormat="1" applyFont="1" applyBorder="1" applyAlignment="1">
      <alignment horizontal="center"/>
    </xf>
    <xf numFmtId="10" fontId="1" fillId="0" borderId="48" xfId="59" applyNumberFormat="1" applyFont="1" applyBorder="1" applyAlignment="1">
      <alignment horizontal="center"/>
    </xf>
    <xf numFmtId="10" fontId="1" fillId="0" borderId="29" xfId="59" applyNumberFormat="1" applyFont="1" applyBorder="1" applyAlignment="1">
      <alignment horizontal="center"/>
    </xf>
    <xf numFmtId="49" fontId="1" fillId="41" borderId="64" xfId="0" applyNumberFormat="1" applyFont="1" applyFill="1" applyBorder="1" applyAlignment="1">
      <alignment horizontal="center"/>
    </xf>
    <xf numFmtId="171" fontId="1" fillId="41" borderId="49" xfId="0" applyNumberFormat="1" applyFont="1" applyFill="1" applyBorder="1" applyAlignment="1">
      <alignment horizontal="center"/>
    </xf>
    <xf numFmtId="171" fontId="1" fillId="41" borderId="49" xfId="0" applyNumberFormat="1" applyFont="1" applyFill="1" applyBorder="1" applyAlignment="1">
      <alignment horizontal="right"/>
    </xf>
    <xf numFmtId="184" fontId="1" fillId="41" borderId="49" xfId="0" applyNumberFormat="1" applyFont="1" applyFill="1" applyBorder="1" applyAlignment="1">
      <alignment horizontal="distributed" vertical="center"/>
    </xf>
    <xf numFmtId="10" fontId="1" fillId="41" borderId="48" xfId="59" applyNumberFormat="1" applyFont="1" applyFill="1" applyBorder="1" applyAlignment="1">
      <alignment/>
    </xf>
    <xf numFmtId="49" fontId="10" fillId="0" borderId="70" xfId="0" applyNumberFormat="1" applyFont="1" applyBorder="1" applyAlignment="1">
      <alignment horizontal="center"/>
    </xf>
    <xf numFmtId="0" fontId="10" fillId="0" borderId="60" xfId="0" applyFont="1" applyBorder="1" applyAlignment="1">
      <alignment/>
    </xf>
    <xf numFmtId="0" fontId="1" fillId="0" borderId="60" xfId="0" applyFont="1" applyBorder="1" applyAlignment="1">
      <alignment horizontal="center"/>
    </xf>
    <xf numFmtId="184" fontId="10" fillId="0" borderId="60" xfId="0" applyNumberFormat="1" applyFont="1" applyBorder="1" applyAlignment="1">
      <alignment horizontal="distributed" vertical="center"/>
    </xf>
    <xf numFmtId="49" fontId="2" fillId="41" borderId="70" xfId="0" applyNumberFormat="1" applyFont="1" applyFill="1" applyBorder="1" applyAlignment="1">
      <alignment horizontal="center"/>
    </xf>
    <xf numFmtId="171" fontId="2" fillId="41" borderId="60" xfId="0" applyNumberFormat="1" applyFont="1" applyFill="1" applyBorder="1" applyAlignment="1">
      <alignment horizontal="left"/>
    </xf>
    <xf numFmtId="0" fontId="0" fillId="41" borderId="60" xfId="0" applyFont="1" applyFill="1" applyBorder="1" applyAlignment="1">
      <alignment horizontal="center"/>
    </xf>
    <xf numFmtId="171" fontId="4" fillId="41" borderId="10" xfId="0" applyNumberFormat="1" applyFont="1" applyFill="1" applyBorder="1" applyAlignment="1">
      <alignment horizontal="center"/>
    </xf>
    <xf numFmtId="171" fontId="4" fillId="41" borderId="27" xfId="0" applyNumberFormat="1" applyFont="1" applyFill="1" applyBorder="1" applyAlignment="1">
      <alignment horizontal="center"/>
    </xf>
    <xf numFmtId="171" fontId="4" fillId="41" borderId="49" xfId="0" applyNumberFormat="1" applyFont="1" applyFill="1" applyBorder="1" applyAlignment="1">
      <alignment horizontal="center"/>
    </xf>
    <xf numFmtId="0" fontId="0" fillId="41" borderId="36" xfId="0" applyFont="1" applyFill="1" applyBorder="1" applyAlignment="1">
      <alignment horizontal="center" vertical="center"/>
    </xf>
    <xf numFmtId="170" fontId="0" fillId="41" borderId="36" xfId="0" applyNumberFormat="1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9" fillId="33" borderId="17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184" fontId="0" fillId="33" borderId="39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84" fontId="0" fillId="33" borderId="39" xfId="0" applyNumberFormat="1" applyFill="1" applyBorder="1" applyAlignment="1">
      <alignment horizontal="right"/>
    </xf>
    <xf numFmtId="0" fontId="0" fillId="33" borderId="37" xfId="0" applyFill="1" applyBorder="1" applyAlignment="1">
      <alignment horizontal="center"/>
    </xf>
    <xf numFmtId="184" fontId="0" fillId="33" borderId="31" xfId="0" applyNumberFormat="1" applyFill="1" applyBorder="1" applyAlignment="1">
      <alignment horizontal="center"/>
    </xf>
    <xf numFmtId="181" fontId="0" fillId="33" borderId="31" xfId="0" applyNumberFormat="1" applyFont="1" applyFill="1" applyBorder="1" applyAlignment="1">
      <alignment horizontal="center"/>
    </xf>
    <xf numFmtId="184" fontId="0" fillId="33" borderId="31" xfId="0" applyNumberFormat="1" applyFill="1" applyBorder="1" applyAlignment="1">
      <alignment horizontal="right"/>
    </xf>
    <xf numFmtId="0" fontId="0" fillId="41" borderId="12" xfId="0" applyFill="1" applyBorder="1" applyAlignment="1">
      <alignment horizontal="center" vertical="center"/>
    </xf>
    <xf numFmtId="44" fontId="0" fillId="33" borderId="31" xfId="0" applyNumberFormat="1" applyFill="1" applyBorder="1" applyAlignment="1">
      <alignment vertical="center"/>
    </xf>
    <xf numFmtId="0" fontId="13" fillId="33" borderId="71" xfId="0" applyFont="1" applyFill="1" applyBorder="1" applyAlignment="1">
      <alignment horizontal="center" vertical="center"/>
    </xf>
    <xf numFmtId="44" fontId="0" fillId="33" borderId="72" xfId="0" applyNumberFormat="1" applyFont="1" applyFill="1" applyBorder="1" applyAlignment="1">
      <alignment horizontal="right" vertical="center"/>
    </xf>
    <xf numFmtId="44" fontId="0" fillId="33" borderId="39" xfId="0" applyNumberFormat="1" applyFill="1" applyBorder="1" applyAlignment="1">
      <alignment horizontal="right" vertical="center"/>
    </xf>
    <xf numFmtId="44" fontId="0" fillId="33" borderId="39" xfId="0" applyNumberFormat="1" applyFill="1" applyBorder="1" applyAlignment="1">
      <alignment horizontal="right"/>
    </xf>
    <xf numFmtId="0" fontId="0" fillId="33" borderId="73" xfId="0" applyFill="1" applyBorder="1" applyAlignment="1">
      <alignment horizontal="center"/>
    </xf>
    <xf numFmtId="44" fontId="0" fillId="33" borderId="74" xfId="0" applyNumberFormat="1" applyFill="1" applyBorder="1" applyAlignment="1">
      <alignment horizontal="right"/>
    </xf>
    <xf numFmtId="44" fontId="0" fillId="33" borderId="31" xfId="0" applyNumberFormat="1" applyFill="1" applyBorder="1" applyAlignment="1">
      <alignment horizontal="right"/>
    </xf>
    <xf numFmtId="44" fontId="0" fillId="33" borderId="31" xfId="0" applyNumberFormat="1" applyFont="1" applyFill="1" applyBorder="1" applyAlignment="1">
      <alignment horizontal="right"/>
    </xf>
    <xf numFmtId="203" fontId="0" fillId="41" borderId="10" xfId="0" applyNumberFormat="1" applyFill="1" applyBorder="1" applyAlignment="1">
      <alignment horizontal="right" vertical="center"/>
    </xf>
    <xf numFmtId="0" fontId="0" fillId="41" borderId="10" xfId="0" applyFont="1" applyFill="1" applyBorder="1" applyAlignment="1">
      <alignment horizontal="center" vertical="center"/>
    </xf>
    <xf numFmtId="170" fontId="0" fillId="41" borderId="10" xfId="0" applyNumberFormat="1" applyFont="1" applyFill="1" applyBorder="1" applyAlignment="1">
      <alignment horizontal="center" vertical="center"/>
    </xf>
    <xf numFmtId="0" fontId="0" fillId="41" borderId="10" xfId="0" applyFill="1" applyBorder="1" applyAlignment="1">
      <alignment horizontal="left" vertical="center" wrapText="1"/>
    </xf>
    <xf numFmtId="203" fontId="0" fillId="41" borderId="10" xfId="0" applyNumberFormat="1" applyFont="1" applyFill="1" applyBorder="1" applyAlignment="1">
      <alignment horizontal="right" vertical="center"/>
    </xf>
    <xf numFmtId="0" fontId="0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left"/>
    </xf>
    <xf numFmtId="203" fontId="0" fillId="41" borderId="10" xfId="0" applyNumberFormat="1" applyFill="1" applyBorder="1" applyAlignment="1">
      <alignment horizontal="right"/>
    </xf>
    <xf numFmtId="0" fontId="45" fillId="41" borderId="10" xfId="0" applyFont="1" applyFill="1" applyBorder="1" applyAlignment="1">
      <alignment horizontal="center" vertical="center"/>
    </xf>
    <xf numFmtId="170" fontId="0" fillId="41" borderId="10" xfId="0" applyNumberFormat="1" applyFont="1" applyFill="1" applyBorder="1" applyAlignment="1">
      <alignment horizontal="center"/>
    </xf>
    <xf numFmtId="203" fontId="0" fillId="41" borderId="10" xfId="0" applyNumberFormat="1" applyFont="1" applyFill="1" applyBorder="1" applyAlignment="1">
      <alignment horizontal="right" vertical="center"/>
    </xf>
    <xf numFmtId="0" fontId="0" fillId="41" borderId="10" xfId="0" applyFont="1" applyFill="1" applyBorder="1" applyAlignment="1">
      <alignment horizontal="left" vertical="center" wrapText="1"/>
    </xf>
    <xf numFmtId="0" fontId="0" fillId="41" borderId="10" xfId="0" applyFont="1" applyFill="1" applyBorder="1" applyAlignment="1">
      <alignment horizontal="left" wrapText="1"/>
    </xf>
    <xf numFmtId="174" fontId="0" fillId="41" borderId="10" xfId="0" applyNumberFormat="1" applyFill="1" applyBorder="1" applyAlignment="1">
      <alignment horizontal="right" vertical="center"/>
    </xf>
    <xf numFmtId="0" fontId="0" fillId="41" borderId="10" xfId="0" applyFill="1" applyBorder="1" applyAlignment="1">
      <alignment horizontal="center"/>
    </xf>
    <xf numFmtId="4" fontId="0" fillId="41" borderId="10" xfId="0" applyNumberFormat="1" applyFill="1" applyBorder="1" applyAlignment="1">
      <alignment horizontal="center"/>
    </xf>
    <xf numFmtId="0" fontId="13" fillId="41" borderId="36" xfId="0" applyFont="1" applyFill="1" applyBorder="1" applyAlignment="1">
      <alignment horizontal="center" vertical="center"/>
    </xf>
    <xf numFmtId="0" fontId="0" fillId="41" borderId="36" xfId="0" applyFont="1" applyFill="1" applyBorder="1" applyAlignment="1">
      <alignment vertical="center" wrapText="1"/>
    </xf>
    <xf numFmtId="4" fontId="0" fillId="41" borderId="36" xfId="0" applyNumberFormat="1" applyFont="1" applyFill="1" applyBorder="1" applyAlignment="1">
      <alignment horizontal="right" vertical="center"/>
    </xf>
    <xf numFmtId="0" fontId="0" fillId="41" borderId="0" xfId="0" applyFill="1" applyBorder="1" applyAlignment="1">
      <alignment horizontal="center" vertical="center"/>
    </xf>
    <xf numFmtId="0" fontId="0" fillId="41" borderId="0" xfId="0" applyFill="1" applyBorder="1" applyAlignment="1">
      <alignment vertical="center" wrapText="1"/>
    </xf>
    <xf numFmtId="4" fontId="0" fillId="41" borderId="0" xfId="0" applyNumberFormat="1" applyFill="1" applyBorder="1" applyAlignment="1">
      <alignment horizontal="right" vertical="center"/>
    </xf>
    <xf numFmtId="4" fontId="0" fillId="41" borderId="0" xfId="0" applyNumberFormat="1" applyFill="1" applyBorder="1" applyAlignment="1">
      <alignment horizontal="center" vertical="center"/>
    </xf>
    <xf numFmtId="0" fontId="0" fillId="41" borderId="0" xfId="0" applyFill="1" applyBorder="1" applyAlignment="1">
      <alignment horizontal="center"/>
    </xf>
    <xf numFmtId="4" fontId="0" fillId="41" borderId="0" xfId="0" applyNumberFormat="1" applyFill="1" applyBorder="1" applyAlignment="1">
      <alignment horizontal="right"/>
    </xf>
    <xf numFmtId="0" fontId="0" fillId="41" borderId="0" xfId="0" applyFont="1" applyFill="1" applyBorder="1" applyAlignment="1">
      <alignment horizontal="center"/>
    </xf>
    <xf numFmtId="4" fontId="0" fillId="41" borderId="0" xfId="0" applyNumberFormat="1" applyFill="1" applyBorder="1" applyAlignment="1">
      <alignment horizontal="center"/>
    </xf>
    <xf numFmtId="0" fontId="0" fillId="41" borderId="68" xfId="0" applyFill="1" applyBorder="1" applyAlignment="1">
      <alignment horizontal="center"/>
    </xf>
    <xf numFmtId="4" fontId="0" fillId="41" borderId="68" xfId="0" applyNumberFormat="1" applyFill="1" applyBorder="1" applyAlignment="1">
      <alignment horizontal="right"/>
    </xf>
    <xf numFmtId="0" fontId="0" fillId="41" borderId="68" xfId="0" applyFont="1" applyFill="1" applyBorder="1" applyAlignment="1">
      <alignment horizontal="center"/>
    </xf>
    <xf numFmtId="4" fontId="0" fillId="41" borderId="68" xfId="0" applyNumberFormat="1" applyFill="1" applyBorder="1" applyAlignment="1">
      <alignment horizontal="center"/>
    </xf>
    <xf numFmtId="0" fontId="0" fillId="41" borderId="10" xfId="0" applyFill="1" applyBorder="1" applyAlignment="1">
      <alignment horizontal="center" vertical="top"/>
    </xf>
    <xf numFmtId="0" fontId="0" fillId="41" borderId="10" xfId="0" applyFill="1" applyBorder="1" applyAlignment="1">
      <alignment vertical="top" wrapText="1"/>
    </xf>
    <xf numFmtId="4" fontId="0" fillId="41" borderId="10" xfId="0" applyNumberFormat="1" applyFont="1" applyFill="1" applyBorder="1" applyAlignment="1">
      <alignment horizontal="center"/>
    </xf>
    <xf numFmtId="170" fontId="0" fillId="41" borderId="10" xfId="0" applyNumberFormat="1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7" xfId="0" applyFill="1" applyBorder="1" applyAlignment="1">
      <alignment/>
    </xf>
    <xf numFmtId="0" fontId="9" fillId="41" borderId="17" xfId="0" applyFont="1" applyFill="1" applyBorder="1" applyAlignment="1">
      <alignment/>
    </xf>
    <xf numFmtId="184" fontId="0" fillId="41" borderId="39" xfId="0" applyNumberFormat="1" applyFill="1" applyBorder="1" applyAlignment="1">
      <alignment horizontal="center"/>
    </xf>
    <xf numFmtId="0" fontId="0" fillId="41" borderId="12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184" fontId="0" fillId="41" borderId="39" xfId="0" applyNumberFormat="1" applyFill="1" applyBorder="1" applyAlignment="1">
      <alignment horizontal="right"/>
    </xf>
    <xf numFmtId="184" fontId="0" fillId="41" borderId="31" xfId="0" applyNumberFormat="1" applyFill="1" applyBorder="1" applyAlignment="1">
      <alignment horizontal="center"/>
    </xf>
    <xf numFmtId="181" fontId="0" fillId="41" borderId="31" xfId="0" applyNumberFormat="1" applyFont="1" applyFill="1" applyBorder="1" applyAlignment="1">
      <alignment horizontal="center"/>
    </xf>
    <xf numFmtId="0" fontId="0" fillId="41" borderId="37" xfId="0" applyFill="1" applyBorder="1" applyAlignment="1">
      <alignment horizontal="center"/>
    </xf>
    <xf numFmtId="184" fontId="0" fillId="41" borderId="31" xfId="0" applyNumberFormat="1" applyFill="1" applyBorder="1" applyAlignment="1">
      <alignment horizontal="right"/>
    </xf>
    <xf numFmtId="0" fontId="0" fillId="41" borderId="37" xfId="0" applyFill="1" applyBorder="1" applyAlignment="1">
      <alignment horizontal="center" vertical="center"/>
    </xf>
    <xf numFmtId="44" fontId="0" fillId="41" borderId="31" xfId="0" applyNumberFormat="1" applyFill="1" applyBorder="1" applyAlignment="1">
      <alignment vertical="center"/>
    </xf>
    <xf numFmtId="0" fontId="0" fillId="41" borderId="37" xfId="0" applyFont="1" applyFill="1" applyBorder="1" applyAlignment="1">
      <alignment horizontal="center" vertical="center"/>
    </xf>
    <xf numFmtId="0" fontId="0" fillId="41" borderId="37" xfId="0" applyFont="1" applyFill="1" applyBorder="1" applyAlignment="1">
      <alignment horizontal="center"/>
    </xf>
    <xf numFmtId="0" fontId="13" fillId="41" borderId="71" xfId="0" applyFont="1" applyFill="1" applyBorder="1" applyAlignment="1">
      <alignment horizontal="center" vertical="center"/>
    </xf>
    <xf numFmtId="44" fontId="0" fillId="41" borderId="72" xfId="0" applyNumberFormat="1" applyFont="1" applyFill="1" applyBorder="1" applyAlignment="1">
      <alignment horizontal="right" vertical="center"/>
    </xf>
    <xf numFmtId="44" fontId="0" fillId="41" borderId="39" xfId="0" applyNumberFormat="1" applyFill="1" applyBorder="1" applyAlignment="1">
      <alignment horizontal="right" vertical="center"/>
    </xf>
    <xf numFmtId="0" fontId="0" fillId="41" borderId="12" xfId="0" applyFill="1" applyBorder="1" applyAlignment="1">
      <alignment horizontal="center"/>
    </xf>
    <xf numFmtId="44" fontId="0" fillId="41" borderId="39" xfId="0" applyNumberFormat="1" applyFill="1" applyBorder="1" applyAlignment="1">
      <alignment horizontal="right"/>
    </xf>
    <xf numFmtId="0" fontId="0" fillId="41" borderId="73" xfId="0" applyFill="1" applyBorder="1" applyAlignment="1">
      <alignment horizontal="center"/>
    </xf>
    <xf numFmtId="44" fontId="0" fillId="41" borderId="74" xfId="0" applyNumberFormat="1" applyFill="1" applyBorder="1" applyAlignment="1">
      <alignment horizontal="right"/>
    </xf>
    <xf numFmtId="44" fontId="0" fillId="41" borderId="31" xfId="0" applyNumberFormat="1" applyFill="1" applyBorder="1" applyAlignment="1">
      <alignment horizontal="right"/>
    </xf>
    <xf numFmtId="0" fontId="0" fillId="41" borderId="37" xfId="0" applyFill="1" applyBorder="1" applyAlignment="1">
      <alignment horizontal="center" vertical="top"/>
    </xf>
    <xf numFmtId="44" fontId="0" fillId="41" borderId="31" xfId="0" applyNumberFormat="1" applyFont="1" applyFill="1" applyBorder="1" applyAlignment="1">
      <alignment horizontal="right"/>
    </xf>
    <xf numFmtId="0" fontId="4" fillId="41" borderId="10" xfId="0" applyFont="1" applyFill="1" applyBorder="1" applyAlignment="1">
      <alignment horizontal="center"/>
    </xf>
    <xf numFmtId="4" fontId="4" fillId="41" borderId="31" xfId="0" applyNumberFormat="1" applyFont="1" applyFill="1" applyBorder="1" applyAlignment="1">
      <alignment horizontal="center" vertical="center"/>
    </xf>
    <xf numFmtId="171" fontId="2" fillId="41" borderId="29" xfId="0" applyNumberFormat="1" applyFont="1" applyFill="1" applyBorder="1" applyAlignment="1">
      <alignment horizontal="right"/>
    </xf>
    <xf numFmtId="0" fontId="1" fillId="0" borderId="29" xfId="0" applyFont="1" applyBorder="1" applyAlignment="1">
      <alignment/>
    </xf>
    <xf numFmtId="171" fontId="1" fillId="0" borderId="29" xfId="0" applyNumberFormat="1" applyFont="1" applyBorder="1" applyAlignment="1">
      <alignment/>
    </xf>
    <xf numFmtId="184" fontId="1" fillId="0" borderId="29" xfId="0" applyNumberFormat="1" applyFont="1" applyBorder="1" applyAlignment="1">
      <alignment horizontal="distributed" vertical="center"/>
    </xf>
    <xf numFmtId="49" fontId="2" fillId="41" borderId="56" xfId="0" applyNumberFormat="1" applyFont="1" applyFill="1" applyBorder="1" applyAlignment="1">
      <alignment horizontal="center"/>
    </xf>
    <xf numFmtId="171" fontId="2" fillId="41" borderId="0" xfId="0" applyNumberFormat="1" applyFont="1" applyFill="1" applyBorder="1" applyAlignment="1">
      <alignment horizontal="left"/>
    </xf>
    <xf numFmtId="0" fontId="0" fillId="41" borderId="70" xfId="0" applyFont="1" applyFill="1" applyBorder="1" applyAlignment="1">
      <alignment horizontal="center"/>
    </xf>
    <xf numFmtId="171" fontId="2" fillId="41" borderId="60" xfId="0" applyNumberFormat="1" applyFont="1" applyFill="1" applyBorder="1" applyAlignment="1">
      <alignment horizontal="right"/>
    </xf>
    <xf numFmtId="0" fontId="0" fillId="33" borderId="11" xfId="52" applyFill="1" applyBorder="1">
      <alignment/>
      <protection/>
    </xf>
    <xf numFmtId="0" fontId="0" fillId="33" borderId="0" xfId="52" applyFill="1" applyBorder="1">
      <alignment/>
      <protection/>
    </xf>
    <xf numFmtId="0" fontId="0" fillId="33" borderId="39" xfId="52" applyFill="1" applyBorder="1" applyAlignment="1">
      <alignment horizontal="center"/>
      <protection/>
    </xf>
    <xf numFmtId="0" fontId="0" fillId="33" borderId="60" xfId="52" applyFill="1" applyBorder="1" applyAlignment="1">
      <alignment horizontal="center"/>
      <protection/>
    </xf>
    <xf numFmtId="0" fontId="0" fillId="33" borderId="12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4" fontId="4" fillId="0" borderId="0" xfId="0" applyNumberFormat="1" applyFont="1" applyFill="1" applyBorder="1" applyAlignment="1">
      <alignment/>
    </xf>
    <xf numFmtId="184" fontId="43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0" fillId="0" borderId="60" xfId="0" applyNumberFormat="1" applyFont="1" applyBorder="1" applyAlignment="1">
      <alignment horizontal="center"/>
    </xf>
    <xf numFmtId="171" fontId="10" fillId="0" borderId="6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39" fontId="10" fillId="0" borderId="29" xfId="0" applyNumberFormat="1" applyFont="1" applyBorder="1" applyAlignment="1">
      <alignment horizontal="right"/>
    </xf>
    <xf numFmtId="186" fontId="10" fillId="0" borderId="29" xfId="0" applyNumberFormat="1" applyFont="1" applyBorder="1" applyAlignment="1">
      <alignment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2" fontId="4" fillId="41" borderId="60" xfId="0" applyNumberFormat="1" applyFont="1" applyFill="1" applyBorder="1" applyAlignment="1">
      <alignment horizontal="right"/>
    </xf>
    <xf numFmtId="170" fontId="1" fillId="0" borderId="10" xfId="0" applyNumberFormat="1" applyFont="1" applyBorder="1" applyAlignment="1">
      <alignment horizontal="distributed" vertical="center"/>
    </xf>
    <xf numFmtId="170" fontId="1" fillId="0" borderId="49" xfId="0" applyNumberFormat="1" applyFont="1" applyBorder="1" applyAlignment="1">
      <alignment horizontal="distributed" vertical="center"/>
    </xf>
    <xf numFmtId="0" fontId="9" fillId="0" borderId="0" xfId="55" applyFont="1" applyFill="1">
      <alignment/>
      <protection/>
    </xf>
    <xf numFmtId="0" fontId="0" fillId="0" borderId="0" xfId="55" applyFill="1">
      <alignment/>
      <protection/>
    </xf>
    <xf numFmtId="0" fontId="10" fillId="0" borderId="0" xfId="55" applyFont="1">
      <alignment/>
      <protection/>
    </xf>
    <xf numFmtId="0" fontId="1" fillId="0" borderId="0" xfId="55" applyFont="1">
      <alignment/>
      <protection/>
    </xf>
    <xf numFmtId="0" fontId="9" fillId="0" borderId="13" xfId="55" applyNumberFormat="1" applyFont="1" applyFill="1" applyBorder="1" applyAlignment="1">
      <alignment horizontal="left"/>
      <protection/>
    </xf>
    <xf numFmtId="0" fontId="9" fillId="0" borderId="0" xfId="55" applyFont="1">
      <alignment/>
      <protection/>
    </xf>
    <xf numFmtId="0" fontId="0" fillId="0" borderId="0" xfId="55">
      <alignment/>
      <protection/>
    </xf>
    <xf numFmtId="0" fontId="9" fillId="0" borderId="14" xfId="55" applyNumberFormat="1" applyFont="1" applyFill="1" applyBorder="1" applyAlignment="1">
      <alignment horizontal="right"/>
      <protection/>
    </xf>
    <xf numFmtId="0" fontId="9" fillId="0" borderId="75" xfId="55" applyNumberFormat="1" applyFont="1" applyFill="1" applyBorder="1" applyAlignment="1">
      <alignment horizontal="center"/>
      <protection/>
    </xf>
    <xf numFmtId="0" fontId="9" fillId="0" borderId="0" xfId="54" applyFont="1">
      <alignment/>
      <protection/>
    </xf>
    <xf numFmtId="0" fontId="0" fillId="43" borderId="35" xfId="54" applyFont="1" applyFill="1" applyBorder="1" applyAlignment="1">
      <alignment horizontal="center"/>
      <protection/>
    </xf>
    <xf numFmtId="0" fontId="0" fillId="43" borderId="14" xfId="54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2" fillId="0" borderId="16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4" fontId="2" fillId="0" borderId="22" xfId="54" applyNumberFormat="1" applyFont="1" applyBorder="1" applyAlignment="1">
      <alignment horizontal="center"/>
      <protection/>
    </xf>
    <xf numFmtId="4" fontId="0" fillId="40" borderId="62" xfId="54" applyNumberFormat="1" applyFont="1" applyFill="1" applyBorder="1" applyAlignment="1">
      <alignment horizontal="center"/>
      <protection/>
    </xf>
    <xf numFmtId="4" fontId="0" fillId="40" borderId="25" xfId="54" applyNumberFormat="1" applyFont="1" applyFill="1" applyBorder="1" applyAlignment="1">
      <alignment horizontal="center"/>
      <protection/>
    </xf>
    <xf numFmtId="0" fontId="9" fillId="0" borderId="69" xfId="54" applyFont="1" applyBorder="1" applyAlignment="1">
      <alignment horizontal="center"/>
      <protection/>
    </xf>
    <xf numFmtId="0" fontId="9" fillId="0" borderId="29" xfId="54" applyFont="1" applyBorder="1">
      <alignment/>
      <protection/>
    </xf>
    <xf numFmtId="4" fontId="0" fillId="0" borderId="30" xfId="54" applyNumberFormat="1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37" xfId="54" applyBorder="1" applyAlignment="1">
      <alignment horizontal="center"/>
      <protection/>
    </xf>
    <xf numFmtId="0" fontId="0" fillId="0" borderId="10" xfId="54" applyBorder="1">
      <alignment/>
      <protection/>
    </xf>
    <xf numFmtId="0" fontId="0" fillId="0" borderId="37" xfId="54" applyFont="1" applyBorder="1" applyAlignment="1">
      <alignment horizontal="center"/>
      <protection/>
    </xf>
    <xf numFmtId="0" fontId="9" fillId="0" borderId="24" xfId="54" applyFont="1" applyBorder="1" applyAlignment="1">
      <alignment horizontal="center"/>
      <protection/>
    </xf>
    <xf numFmtId="0" fontId="9" fillId="0" borderId="27" xfId="54" applyFont="1" applyBorder="1">
      <alignment/>
      <protection/>
    </xf>
    <xf numFmtId="0" fontId="0" fillId="0" borderId="10" xfId="54" applyFont="1" applyBorder="1">
      <alignment/>
      <protection/>
    </xf>
    <xf numFmtId="0" fontId="0" fillId="0" borderId="64" xfId="54" applyFont="1" applyBorder="1" applyAlignment="1">
      <alignment horizontal="center"/>
      <protection/>
    </xf>
    <xf numFmtId="0" fontId="0" fillId="0" borderId="49" xfId="54" applyFont="1" applyBorder="1">
      <alignment/>
      <protection/>
    </xf>
    <xf numFmtId="0" fontId="0" fillId="0" borderId="49" xfId="54" applyFont="1" applyBorder="1">
      <alignment/>
      <protection/>
    </xf>
    <xf numFmtId="10" fontId="0" fillId="0" borderId="0" xfId="54" applyNumberFormat="1">
      <alignment/>
      <protection/>
    </xf>
    <xf numFmtId="10" fontId="10" fillId="0" borderId="22" xfId="60" applyNumberFormat="1" applyFont="1" applyFill="1" applyBorder="1" applyAlignment="1">
      <alignment horizontal="center"/>
    </xf>
    <xf numFmtId="0" fontId="10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0" xfId="54" applyAlignment="1">
      <alignment horizontal="center"/>
      <protection/>
    </xf>
    <xf numFmtId="4" fontId="0" fillId="0" borderId="0" xfId="54" applyNumberFormat="1" applyAlignment="1">
      <alignment horizontal="center"/>
      <protection/>
    </xf>
    <xf numFmtId="0" fontId="8" fillId="0" borderId="0" xfId="54" applyFont="1">
      <alignment/>
      <protection/>
    </xf>
    <xf numFmtId="0" fontId="36" fillId="0" borderId="0" xfId="54" applyFo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54" applyBorder="1">
      <alignment/>
      <protection/>
    </xf>
    <xf numFmtId="0" fontId="38" fillId="0" borderId="0" xfId="52" applyFont="1" applyBorder="1" applyAlignment="1">
      <alignment/>
      <protection/>
    </xf>
    <xf numFmtId="10" fontId="0" fillId="33" borderId="10" xfId="0" applyNumberFormat="1" applyFont="1" applyFill="1" applyBorder="1" applyAlignment="1">
      <alignment/>
    </xf>
    <xf numFmtId="10" fontId="0" fillId="41" borderId="10" xfId="0" applyNumberFormat="1" applyFont="1" applyFill="1" applyBorder="1" applyAlignment="1">
      <alignment/>
    </xf>
    <xf numFmtId="2" fontId="0" fillId="0" borderId="0" xfId="54" applyNumberFormat="1">
      <alignment/>
      <protection/>
    </xf>
    <xf numFmtId="0" fontId="0" fillId="44" borderId="0" xfId="55" applyFill="1">
      <alignment/>
      <protection/>
    </xf>
    <xf numFmtId="0" fontId="9" fillId="44" borderId="0" xfId="54" applyFont="1" applyFill="1">
      <alignment/>
      <protection/>
    </xf>
    <xf numFmtId="10" fontId="0" fillId="12" borderId="0" xfId="54" applyNumberFormat="1" applyFill="1">
      <alignment/>
      <protection/>
    </xf>
    <xf numFmtId="0" fontId="0" fillId="12" borderId="0" xfId="55" applyFill="1">
      <alignment/>
      <protection/>
    </xf>
    <xf numFmtId="0" fontId="0" fillId="13" borderId="0" xfId="54" applyFill="1">
      <alignment/>
      <protection/>
    </xf>
    <xf numFmtId="0" fontId="0" fillId="13" borderId="0" xfId="55" applyFill="1">
      <alignment/>
      <protection/>
    </xf>
    <xf numFmtId="0" fontId="0" fillId="10" borderId="0" xfId="55" applyFill="1">
      <alignment/>
      <protection/>
    </xf>
    <xf numFmtId="10" fontId="0" fillId="41" borderId="31" xfId="60" applyNumberFormat="1" applyFill="1" applyBorder="1" applyAlignment="1">
      <alignment horizontal="center"/>
    </xf>
    <xf numFmtId="10" fontId="9" fillId="41" borderId="28" xfId="60" applyNumberFormat="1" applyFont="1" applyFill="1" applyBorder="1" applyAlignment="1">
      <alignment horizontal="center"/>
    </xf>
    <xf numFmtId="10" fontId="0" fillId="41" borderId="30" xfId="60" applyNumberFormat="1" applyFill="1" applyBorder="1" applyAlignment="1">
      <alignment horizontal="center"/>
    </xf>
    <xf numFmtId="0" fontId="9" fillId="45" borderId="46" xfId="54" applyFont="1" applyFill="1" applyBorder="1">
      <alignment/>
      <protection/>
    </xf>
    <xf numFmtId="171" fontId="4" fillId="41" borderId="10" xfId="0" applyNumberFormat="1" applyFont="1" applyFill="1" applyBorder="1" applyAlignment="1">
      <alignment horizontal="center"/>
    </xf>
    <xf numFmtId="171" fontId="4" fillId="41" borderId="49" xfId="0" applyNumberFormat="1" applyFont="1" applyFill="1" applyBorder="1" applyAlignment="1">
      <alignment horizontal="center"/>
    </xf>
    <xf numFmtId="0" fontId="0" fillId="41" borderId="10" xfId="52" applyFill="1" applyBorder="1" applyAlignment="1">
      <alignment horizontal="center"/>
      <protection/>
    </xf>
    <xf numFmtId="0" fontId="0" fillId="41" borderId="27" xfId="52" applyFill="1" applyBorder="1" applyAlignment="1">
      <alignment horizontal="center"/>
      <protection/>
    </xf>
    <xf numFmtId="0" fontId="4" fillId="0" borderId="13" xfId="52" applyFont="1" applyBorder="1" applyAlignment="1">
      <alignment/>
      <protection/>
    </xf>
    <xf numFmtId="0" fontId="5" fillId="0" borderId="14" xfId="52" applyFont="1" applyBorder="1" applyAlignment="1">
      <alignment/>
      <protection/>
    </xf>
    <xf numFmtId="0" fontId="3" fillId="0" borderId="14" xfId="52" applyFont="1" applyBorder="1" applyAlignment="1">
      <alignment/>
      <protection/>
    </xf>
    <xf numFmtId="0" fontId="0" fillId="46" borderId="0" xfId="52" applyFill="1" applyBorder="1">
      <alignment/>
      <protection/>
    </xf>
    <xf numFmtId="0" fontId="10" fillId="0" borderId="57" xfId="52" applyFont="1" applyFill="1" applyBorder="1" applyAlignment="1">
      <alignment horizontal="center" vertical="center" wrapText="1"/>
      <protection/>
    </xf>
    <xf numFmtId="0" fontId="1" fillId="33" borderId="0" xfId="52" applyFont="1" applyFill="1" applyBorder="1">
      <alignment/>
      <protection/>
    </xf>
    <xf numFmtId="0" fontId="24" fillId="46" borderId="0" xfId="52" applyFont="1" applyFill="1" applyBorder="1">
      <alignment/>
      <protection/>
    </xf>
    <xf numFmtId="0" fontId="10" fillId="0" borderId="24" xfId="52" applyFont="1" applyFill="1" applyBorder="1" applyAlignment="1">
      <alignment horizontal="center" vertical="center" wrapText="1"/>
      <protection/>
    </xf>
    <xf numFmtId="0" fontId="10" fillId="0" borderId="28" xfId="52" applyFont="1" applyFill="1" applyBorder="1" applyAlignment="1">
      <alignment horizontal="center" vertical="center" wrapText="1"/>
      <protection/>
    </xf>
    <xf numFmtId="0" fontId="10" fillId="0" borderId="58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>
      <alignment/>
      <protection/>
    </xf>
    <xf numFmtId="0" fontId="0" fillId="0" borderId="0" xfId="52" applyFill="1" applyBorder="1">
      <alignment/>
      <protection/>
    </xf>
    <xf numFmtId="0" fontId="25" fillId="38" borderId="0" xfId="52" applyFont="1" applyFill="1" applyBorder="1">
      <alignment/>
      <protection/>
    </xf>
    <xf numFmtId="0" fontId="0" fillId="47" borderId="0" xfId="52" applyFill="1" applyBorder="1">
      <alignment/>
      <protection/>
    </xf>
    <xf numFmtId="179" fontId="1" fillId="33" borderId="70" xfId="52" applyNumberFormat="1" applyFont="1" applyFill="1" applyBorder="1" applyAlignment="1">
      <alignment horizontal="center" vertical="top" wrapText="1"/>
      <protection/>
    </xf>
    <xf numFmtId="179" fontId="1" fillId="33" borderId="10" xfId="52" applyNumberFormat="1" applyFont="1" applyFill="1" applyBorder="1" applyAlignment="1">
      <alignment horizontal="center" vertical="top" wrapText="1"/>
      <protection/>
    </xf>
    <xf numFmtId="176" fontId="1" fillId="33" borderId="10" xfId="52" applyNumberFormat="1" applyFont="1" applyFill="1" applyBorder="1" applyAlignment="1">
      <alignment horizontal="center" vertical="top" wrapText="1"/>
      <protection/>
    </xf>
    <xf numFmtId="173" fontId="1" fillId="33" borderId="10" xfId="52" applyNumberFormat="1" applyFont="1" applyFill="1" applyBorder="1" applyAlignment="1">
      <alignment horizontal="center" vertical="top" wrapText="1"/>
      <protection/>
    </xf>
    <xf numFmtId="39" fontId="1" fillId="33" borderId="10" xfId="52" applyNumberFormat="1" applyFont="1" applyFill="1" applyBorder="1" applyAlignment="1">
      <alignment horizontal="center" vertical="top" wrapText="1"/>
      <protection/>
    </xf>
    <xf numFmtId="2" fontId="1" fillId="33" borderId="10" xfId="52" applyNumberFormat="1" applyFont="1" applyFill="1" applyBorder="1" applyAlignment="1">
      <alignment horizontal="center" vertical="top" wrapText="1"/>
      <protection/>
    </xf>
    <xf numFmtId="175" fontId="1" fillId="33" borderId="60" xfId="52" applyNumberFormat="1" applyFont="1" applyFill="1" applyBorder="1" applyAlignment="1">
      <alignment horizontal="center" vertical="top" wrapText="1"/>
      <protection/>
    </xf>
    <xf numFmtId="172" fontId="1" fillId="33" borderId="60" xfId="52" applyNumberFormat="1" applyFont="1" applyFill="1" applyBorder="1" applyAlignment="1">
      <alignment horizontal="center" vertical="top" wrapText="1"/>
      <protection/>
    </xf>
    <xf numFmtId="173" fontId="1" fillId="33" borderId="60" xfId="52" applyNumberFormat="1" applyFont="1" applyFill="1" applyBorder="1" applyAlignment="1">
      <alignment horizontal="center" vertical="top" wrapText="1"/>
      <protection/>
    </xf>
    <xf numFmtId="0" fontId="1" fillId="33" borderId="60" xfId="52" applyFont="1" applyFill="1" applyBorder="1" applyAlignment="1">
      <alignment horizontal="center" vertical="top" wrapText="1"/>
      <protection/>
    </xf>
    <xf numFmtId="177" fontId="1" fillId="33" borderId="60" xfId="52" applyNumberFormat="1" applyFont="1" applyFill="1" applyBorder="1" applyAlignment="1">
      <alignment horizontal="center" vertical="top" wrapText="1"/>
      <protection/>
    </xf>
    <xf numFmtId="4" fontId="10" fillId="33" borderId="53" xfId="52" applyNumberFormat="1" applyFont="1" applyFill="1" applyBorder="1" applyAlignment="1">
      <alignment horizontal="center" vertical="top" wrapText="1"/>
      <protection/>
    </xf>
    <xf numFmtId="0" fontId="25" fillId="33" borderId="0" xfId="52" applyFont="1" applyFill="1" applyBorder="1">
      <alignment/>
      <protection/>
    </xf>
    <xf numFmtId="0" fontId="26" fillId="33" borderId="0" xfId="52" applyFont="1" applyFill="1" applyBorder="1">
      <alignment/>
      <protection/>
    </xf>
    <xf numFmtId="179" fontId="1" fillId="33" borderId="70" xfId="52" applyNumberFormat="1" applyFont="1" applyFill="1" applyBorder="1" applyAlignment="1">
      <alignment horizontal="center" vertical="center" wrapText="1"/>
      <protection/>
    </xf>
    <xf numFmtId="179" fontId="1" fillId="33" borderId="10" xfId="52" applyNumberFormat="1" applyFont="1" applyFill="1" applyBorder="1" applyAlignment="1">
      <alignment horizontal="center" vertical="center" wrapText="1"/>
      <protection/>
    </xf>
    <xf numFmtId="176" fontId="1" fillId="33" borderId="10" xfId="52" applyNumberFormat="1" applyFont="1" applyFill="1" applyBorder="1" applyAlignment="1">
      <alignment horizontal="center" vertical="center" wrapText="1"/>
      <protection/>
    </xf>
    <xf numFmtId="173" fontId="1" fillId="33" borderId="10" xfId="52" applyNumberFormat="1" applyFont="1" applyFill="1" applyBorder="1" applyAlignment="1">
      <alignment horizontal="center" vertical="center" wrapText="1"/>
      <protection/>
    </xf>
    <xf numFmtId="39" fontId="1" fillId="33" borderId="10" xfId="52" applyNumberFormat="1" applyFont="1" applyFill="1" applyBorder="1" applyAlignment="1">
      <alignment horizontal="center" vertical="center" wrapText="1"/>
      <protection/>
    </xf>
    <xf numFmtId="2" fontId="1" fillId="33" borderId="10" xfId="52" applyNumberFormat="1" applyFont="1" applyFill="1" applyBorder="1" applyAlignment="1">
      <alignment horizontal="center" vertical="center" wrapText="1"/>
      <protection/>
    </xf>
    <xf numFmtId="179" fontId="1" fillId="0" borderId="10" xfId="52" applyNumberFormat="1" applyFont="1" applyFill="1" applyBorder="1" applyAlignment="1">
      <alignment horizontal="center" vertical="top" wrapText="1"/>
      <protection/>
    </xf>
    <xf numFmtId="173" fontId="1" fillId="0" borderId="10" xfId="52" applyNumberFormat="1" applyFont="1" applyFill="1" applyBorder="1" applyAlignment="1">
      <alignment horizontal="center" vertical="top" wrapText="1"/>
      <protection/>
    </xf>
    <xf numFmtId="0" fontId="26" fillId="0" borderId="0" xfId="52" applyFont="1" applyFill="1" applyBorder="1">
      <alignment/>
      <protection/>
    </xf>
    <xf numFmtId="179" fontId="1" fillId="33" borderId="37" xfId="52" applyNumberFormat="1" applyFont="1" applyFill="1" applyBorder="1" applyAlignment="1">
      <alignment horizontal="center" vertical="top" wrapText="1"/>
      <protection/>
    </xf>
    <xf numFmtId="179" fontId="1" fillId="0" borderId="37" xfId="52" applyNumberFormat="1" applyFont="1" applyFill="1" applyBorder="1" applyAlignment="1">
      <alignment horizontal="center" vertical="top" wrapText="1"/>
      <protection/>
    </xf>
    <xf numFmtId="176" fontId="1" fillId="0" borderId="10" xfId="52" applyNumberFormat="1" applyFont="1" applyFill="1" applyBorder="1" applyAlignment="1">
      <alignment horizontal="center" vertical="top" wrapText="1"/>
      <protection/>
    </xf>
    <xf numFmtId="39" fontId="1" fillId="0" borderId="10" xfId="52" applyNumberFormat="1" applyFont="1" applyFill="1" applyBorder="1" applyAlignment="1">
      <alignment horizontal="center" vertical="top" wrapText="1"/>
      <protection/>
    </xf>
    <xf numFmtId="2" fontId="1" fillId="0" borderId="10" xfId="52" applyNumberFormat="1" applyFont="1" applyFill="1" applyBorder="1" applyAlignment="1">
      <alignment horizontal="center" vertical="top" wrapText="1"/>
      <protection/>
    </xf>
    <xf numFmtId="172" fontId="1" fillId="0" borderId="60" xfId="52" applyNumberFormat="1" applyFont="1" applyFill="1" applyBorder="1" applyAlignment="1">
      <alignment horizontal="center" vertical="top" wrapText="1"/>
      <protection/>
    </xf>
    <xf numFmtId="0" fontId="0" fillId="33" borderId="76" xfId="52" applyFont="1" applyFill="1" applyBorder="1" applyAlignment="1">
      <alignment horizontal="left"/>
      <protection/>
    </xf>
    <xf numFmtId="0" fontId="0" fillId="33" borderId="44" xfId="52" applyFont="1" applyFill="1" applyBorder="1" applyAlignment="1">
      <alignment horizontal="left"/>
      <protection/>
    </xf>
    <xf numFmtId="0" fontId="0" fillId="33" borderId="67" xfId="52" applyFill="1" applyBorder="1" applyAlignment="1">
      <alignment horizontal="center"/>
      <protection/>
    </xf>
    <xf numFmtId="0" fontId="0" fillId="33" borderId="76" xfId="52" applyFill="1" applyBorder="1" applyAlignment="1">
      <alignment horizontal="left"/>
      <protection/>
    </xf>
    <xf numFmtId="0" fontId="0" fillId="33" borderId="44" xfId="52" applyFill="1" applyBorder="1" applyAlignment="1">
      <alignment horizontal="center"/>
      <protection/>
    </xf>
    <xf numFmtId="0" fontId="0" fillId="33" borderId="45" xfId="52" applyFill="1" applyBorder="1" applyAlignment="1">
      <alignment horizontal="center"/>
      <protection/>
    </xf>
    <xf numFmtId="0" fontId="9" fillId="33" borderId="71" xfId="52" applyFont="1" applyFill="1" applyBorder="1">
      <alignment/>
      <protection/>
    </xf>
    <xf numFmtId="0" fontId="9" fillId="33" borderId="36" xfId="52" applyNumberFormat="1" applyFont="1" applyFill="1" applyBorder="1" applyAlignment="1">
      <alignment horizontal="center"/>
      <protection/>
    </xf>
    <xf numFmtId="0" fontId="9" fillId="33" borderId="77" xfId="52" applyFont="1" applyFill="1" applyBorder="1" applyAlignment="1">
      <alignment horizontal="left"/>
      <protection/>
    </xf>
    <xf numFmtId="0" fontId="0" fillId="0" borderId="78" xfId="52" applyBorder="1">
      <alignment/>
      <protection/>
    </xf>
    <xf numFmtId="0" fontId="0" fillId="0" borderId="36" xfId="52" applyBorder="1">
      <alignment/>
      <protection/>
    </xf>
    <xf numFmtId="0" fontId="4" fillId="33" borderId="77" xfId="52" applyNumberFormat="1" applyFont="1" applyFill="1" applyBorder="1" applyAlignment="1">
      <alignment/>
      <protection/>
    </xf>
    <xf numFmtId="0" fontId="4" fillId="33" borderId="78" xfId="52" applyNumberFormat="1" applyFont="1" applyFill="1" applyBorder="1" applyAlignment="1">
      <alignment/>
      <protection/>
    </xf>
    <xf numFmtId="0" fontId="0" fillId="33" borderId="36" xfId="52" applyFill="1" applyBorder="1" applyAlignment="1">
      <alignment horizontal="right"/>
      <protection/>
    </xf>
    <xf numFmtId="173" fontId="0" fillId="33" borderId="36" xfId="52" applyNumberFormat="1" applyFill="1" applyBorder="1" applyAlignment="1">
      <alignment horizontal="center"/>
      <protection/>
    </xf>
    <xf numFmtId="0" fontId="0" fillId="33" borderId="77" xfId="52" applyFill="1" applyBorder="1" applyAlignment="1">
      <alignment horizontal="left"/>
      <protection/>
    </xf>
    <xf numFmtId="0" fontId="9" fillId="33" borderId="12" xfId="52" applyFont="1" applyFill="1" applyBorder="1">
      <alignment/>
      <protection/>
    </xf>
    <xf numFmtId="0" fontId="9" fillId="33" borderId="0" xfId="52" applyNumberFormat="1" applyFont="1" applyFill="1" applyBorder="1" applyAlignment="1">
      <alignment horizontal="center"/>
      <protection/>
    </xf>
    <xf numFmtId="0" fontId="9" fillId="33" borderId="79" xfId="52" applyFont="1" applyFill="1" applyBorder="1" applyAlignment="1">
      <alignment horizontal="left"/>
      <protection/>
    </xf>
    <xf numFmtId="0" fontId="0" fillId="33" borderId="80" xfId="52" applyFill="1" applyBorder="1" applyAlignment="1">
      <alignment horizontal="center"/>
      <protection/>
    </xf>
    <xf numFmtId="0" fontId="0" fillId="33" borderId="79" xfId="52" applyFill="1" applyBorder="1" applyAlignment="1">
      <alignment horizontal="right"/>
      <protection/>
    </xf>
    <xf numFmtId="0" fontId="4" fillId="33" borderId="80" xfId="52" applyNumberFormat="1" applyFont="1" applyFill="1" applyBorder="1" applyAlignment="1">
      <alignment horizontal="center"/>
      <protection/>
    </xf>
    <xf numFmtId="1" fontId="0" fillId="33" borderId="0" xfId="52" applyNumberFormat="1" applyFill="1" applyBorder="1" applyAlignment="1">
      <alignment horizontal="center"/>
      <protection/>
    </xf>
    <xf numFmtId="0" fontId="0" fillId="33" borderId="79" xfId="52" applyFill="1" applyBorder="1" applyAlignment="1">
      <alignment horizontal="left"/>
      <protection/>
    </xf>
    <xf numFmtId="0" fontId="9" fillId="33" borderId="46" xfId="52" applyFont="1" applyFill="1" applyBorder="1">
      <alignment/>
      <protection/>
    </xf>
    <xf numFmtId="0" fontId="9" fillId="33" borderId="25" xfId="52" applyNumberFormat="1" applyFont="1" applyFill="1" applyBorder="1" applyAlignment="1">
      <alignment horizontal="center"/>
      <protection/>
    </xf>
    <xf numFmtId="0" fontId="9" fillId="33" borderId="81" xfId="52" applyFont="1" applyFill="1" applyBorder="1" applyAlignment="1">
      <alignment horizontal="left"/>
      <protection/>
    </xf>
    <xf numFmtId="0" fontId="0" fillId="33" borderId="82" xfId="52" applyFill="1" applyBorder="1" applyAlignment="1">
      <alignment horizontal="center"/>
      <protection/>
    </xf>
    <xf numFmtId="0" fontId="0" fillId="33" borderId="25" xfId="52" applyFill="1" applyBorder="1" applyAlignment="1">
      <alignment horizontal="center"/>
      <protection/>
    </xf>
    <xf numFmtId="0" fontId="0" fillId="33" borderId="81" xfId="52" applyFill="1" applyBorder="1" applyAlignment="1">
      <alignment horizontal="right"/>
      <protection/>
    </xf>
    <xf numFmtId="0" fontId="12" fillId="33" borderId="82" xfId="52" applyNumberFormat="1" applyFont="1" applyFill="1" applyBorder="1" applyAlignment="1">
      <alignment horizontal="right"/>
      <protection/>
    </xf>
    <xf numFmtId="0" fontId="0" fillId="33" borderId="81" xfId="52" applyFill="1" applyBorder="1" applyAlignment="1">
      <alignment horizontal="center"/>
      <protection/>
    </xf>
    <xf numFmtId="49" fontId="0" fillId="33" borderId="52" xfId="52" applyNumberFormat="1" applyFill="1" applyBorder="1" applyAlignment="1">
      <alignment horizontal="left"/>
      <protection/>
    </xf>
    <xf numFmtId="0" fontId="0" fillId="33" borderId="65" xfId="52" applyFill="1" applyBorder="1" applyAlignment="1">
      <alignment horizontal="left"/>
      <protection/>
    </xf>
    <xf numFmtId="0" fontId="4" fillId="33" borderId="17" xfId="52" applyNumberFormat="1" applyFont="1" applyFill="1" applyBorder="1" applyAlignment="1">
      <alignment horizontal="center"/>
      <protection/>
    </xf>
    <xf numFmtId="0" fontId="0" fillId="33" borderId="17" xfId="52" applyFill="1" applyBorder="1" applyAlignment="1">
      <alignment horizontal="center"/>
      <protection/>
    </xf>
    <xf numFmtId="0" fontId="0" fillId="33" borderId="57" xfId="52" applyFill="1" applyBorder="1" applyAlignment="1">
      <alignment horizontal="center"/>
      <protection/>
    </xf>
    <xf numFmtId="0" fontId="0" fillId="33" borderId="11" xfId="52" applyFill="1" applyBorder="1" applyAlignment="1">
      <alignment horizontal="left"/>
      <protection/>
    </xf>
    <xf numFmtId="0" fontId="0" fillId="33" borderId="12" xfId="52" applyFill="1" applyBorder="1">
      <alignment/>
      <protection/>
    </xf>
    <xf numFmtId="0" fontId="4" fillId="33" borderId="0" xfId="52" applyNumberFormat="1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/>
      <protection/>
    </xf>
    <xf numFmtId="0" fontId="2" fillId="33" borderId="39" xfId="52" applyFont="1" applyFill="1" applyBorder="1" applyAlignment="1">
      <alignment/>
      <protection/>
    </xf>
    <xf numFmtId="0" fontId="0" fillId="33" borderId="46" xfId="52" applyFill="1" applyBorder="1">
      <alignment/>
      <protection/>
    </xf>
    <xf numFmtId="0" fontId="4" fillId="33" borderId="25" xfId="52" applyNumberFormat="1" applyFont="1" applyFill="1" applyBorder="1" applyAlignment="1">
      <alignment horizontal="center"/>
      <protection/>
    </xf>
    <xf numFmtId="0" fontId="0" fillId="33" borderId="25" xfId="52" applyFill="1" applyBorder="1" applyAlignment="1">
      <alignment horizontal="right"/>
      <protection/>
    </xf>
    <xf numFmtId="173" fontId="0" fillId="33" borderId="25" xfId="52" applyNumberFormat="1" applyFill="1" applyBorder="1" applyAlignment="1">
      <alignment horizontal="center"/>
      <protection/>
    </xf>
    <xf numFmtId="0" fontId="0" fillId="33" borderId="25" xfId="52" applyFill="1" applyBorder="1" applyAlignment="1">
      <alignment horizontal="left"/>
      <protection/>
    </xf>
    <xf numFmtId="0" fontId="0" fillId="33" borderId="25" xfId="52" applyFill="1" applyBorder="1" applyAlignment="1">
      <alignment/>
      <protection/>
    </xf>
    <xf numFmtId="0" fontId="0" fillId="33" borderId="58" xfId="52" applyFill="1" applyBorder="1" applyAlignment="1">
      <alignment/>
      <protection/>
    </xf>
    <xf numFmtId="0" fontId="1" fillId="33" borderId="69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176" fontId="1" fillId="33" borderId="29" xfId="0" applyNumberFormat="1" applyFont="1" applyFill="1" applyBorder="1" applyAlignment="1">
      <alignment horizontal="center" vertical="top" wrapText="1"/>
    </xf>
    <xf numFmtId="173" fontId="1" fillId="33" borderId="29" xfId="0" applyNumberFormat="1" applyFont="1" applyFill="1" applyBorder="1" applyAlignment="1">
      <alignment horizontal="center" vertical="top" wrapText="1"/>
    </xf>
    <xf numFmtId="39" fontId="1" fillId="33" borderId="29" xfId="0" applyNumberFormat="1" applyFont="1" applyFill="1" applyBorder="1" applyAlignment="1">
      <alignment horizontal="center" vertical="top" wrapText="1"/>
    </xf>
    <xf numFmtId="2" fontId="1" fillId="33" borderId="29" xfId="0" applyNumberFormat="1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center" vertical="top" wrapText="1"/>
    </xf>
    <xf numFmtId="39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0" borderId="37" xfId="0" applyNumberFormat="1" applyFont="1" applyFill="1" applyBorder="1" applyAlignment="1">
      <alignment horizontal="center"/>
    </xf>
    <xf numFmtId="0" fontId="4" fillId="0" borderId="0" xfId="52" applyFont="1">
      <alignment/>
      <protection/>
    </xf>
    <xf numFmtId="0" fontId="1" fillId="36" borderId="0" xfId="52" applyFont="1" applyFill="1">
      <alignment/>
      <protection/>
    </xf>
    <xf numFmtId="0" fontId="4" fillId="36" borderId="0" xfId="52" applyFont="1" applyFill="1">
      <alignment/>
      <protection/>
    </xf>
    <xf numFmtId="0" fontId="0" fillId="0" borderId="0" xfId="52" applyFont="1">
      <alignment/>
      <protection/>
    </xf>
    <xf numFmtId="0" fontId="4" fillId="0" borderId="0" xfId="52" applyFont="1" applyProtection="1">
      <alignment/>
      <protection locked="0"/>
    </xf>
    <xf numFmtId="0" fontId="4" fillId="0" borderId="10" xfId="52" applyFont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2" fillId="37" borderId="0" xfId="52" applyFont="1" applyFill="1" applyBorder="1">
      <alignment/>
      <protection/>
    </xf>
    <xf numFmtId="0" fontId="4" fillId="0" borderId="0" xfId="52" applyFont="1" applyProtection="1">
      <alignment/>
      <protection hidden="1"/>
    </xf>
    <xf numFmtId="0" fontId="4" fillId="0" borderId="0" xfId="52" applyFont="1" applyFill="1">
      <alignment/>
      <protection/>
    </xf>
    <xf numFmtId="2" fontId="4" fillId="48" borderId="83" xfId="52" applyNumberFormat="1" applyFont="1" applyFill="1" applyBorder="1">
      <alignment/>
      <protection/>
    </xf>
    <xf numFmtId="2" fontId="4" fillId="0" borderId="84" xfId="52" applyNumberFormat="1" applyFont="1" applyBorder="1" applyProtection="1">
      <alignment/>
      <protection locked="0"/>
    </xf>
    <xf numFmtId="2" fontId="4" fillId="0" borderId="83" xfId="52" applyNumberFormat="1" applyFont="1" applyBorder="1" applyProtection="1">
      <alignment/>
      <protection locked="0"/>
    </xf>
    <xf numFmtId="39" fontId="46" fillId="33" borderId="0" xfId="69" applyNumberFormat="1" applyFont="1" applyFill="1" applyAlignment="1" applyProtection="1">
      <alignment/>
      <protection hidden="1"/>
    </xf>
    <xf numFmtId="2" fontId="4" fillId="48" borderId="85" xfId="52" applyNumberFormat="1" applyFont="1" applyFill="1" applyBorder="1">
      <alignment/>
      <protection/>
    </xf>
    <xf numFmtId="2" fontId="4" fillId="0" borderId="86" xfId="52" applyNumberFormat="1" applyFont="1" applyBorder="1" applyProtection="1">
      <alignment/>
      <protection locked="0"/>
    </xf>
    <xf numFmtId="2" fontId="4" fillId="0" borderId="85" xfId="52" applyNumberFormat="1" applyFont="1" applyBorder="1" applyProtection="1">
      <alignment/>
      <protection locked="0"/>
    </xf>
    <xf numFmtId="0" fontId="12" fillId="40" borderId="60" xfId="52" applyFont="1" applyFill="1" applyBorder="1">
      <alignment/>
      <protection/>
    </xf>
    <xf numFmtId="0" fontId="12" fillId="49" borderId="10" xfId="52" applyFont="1" applyFill="1" applyBorder="1">
      <alignment/>
      <protection/>
    </xf>
    <xf numFmtId="0" fontId="4" fillId="0" borderId="0" xfId="52" applyFont="1" applyAlignment="1">
      <alignment horizontal="center"/>
      <protection/>
    </xf>
    <xf numFmtId="0" fontId="12" fillId="0" borderId="10" xfId="52" applyFont="1" applyBorder="1">
      <alignment/>
      <protection/>
    </xf>
    <xf numFmtId="2" fontId="4" fillId="48" borderId="85" xfId="69" applyNumberFormat="1" applyFont="1" applyFill="1" applyBorder="1" applyAlignment="1">
      <alignment/>
    </xf>
    <xf numFmtId="2" fontId="4" fillId="48" borderId="86" xfId="52" applyNumberFormat="1" applyFont="1" applyFill="1" applyBorder="1" applyProtection="1">
      <alignment/>
      <protection/>
    </xf>
    <xf numFmtId="0" fontId="4" fillId="48" borderId="0" xfId="52" applyFont="1" applyFill="1">
      <alignment/>
      <protection/>
    </xf>
    <xf numFmtId="2" fontId="4" fillId="0" borderId="85" xfId="52" applyNumberFormat="1" applyFont="1" applyBorder="1">
      <alignment/>
      <protection/>
    </xf>
    <xf numFmtId="0" fontId="4" fillId="0" borderId="85" xfId="52" applyFont="1" applyBorder="1">
      <alignment/>
      <protection/>
    </xf>
    <xf numFmtId="0" fontId="46" fillId="33" borderId="0" xfId="52" applyFont="1" applyFill="1" applyProtection="1">
      <alignment/>
      <protection hidden="1"/>
    </xf>
    <xf numFmtId="0" fontId="4" fillId="50" borderId="0" xfId="52" applyFont="1" applyFill="1">
      <alignment/>
      <protection/>
    </xf>
    <xf numFmtId="171" fontId="4" fillId="48" borderId="85" xfId="69" applyFont="1" applyFill="1" applyBorder="1" applyAlignment="1">
      <alignment/>
    </xf>
    <xf numFmtId="171" fontId="4" fillId="0" borderId="86" xfId="69" applyFont="1" applyBorder="1" applyAlignment="1" applyProtection="1">
      <alignment/>
      <protection locked="0"/>
    </xf>
    <xf numFmtId="0" fontId="4" fillId="48" borderId="85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2" fillId="0" borderId="0" xfId="52" applyFont="1" applyBorder="1">
      <alignment/>
      <protection/>
    </xf>
    <xf numFmtId="0" fontId="4" fillId="48" borderId="87" xfId="52" applyFont="1" applyFill="1" applyBorder="1">
      <alignment/>
      <protection/>
    </xf>
    <xf numFmtId="2" fontId="4" fillId="48" borderId="87" xfId="52" applyNumberFormat="1" applyFont="1" applyFill="1" applyBorder="1">
      <alignment/>
      <protection/>
    </xf>
    <xf numFmtId="171" fontId="4" fillId="0" borderId="88" xfId="69" applyFont="1" applyBorder="1" applyAlignment="1" applyProtection="1">
      <alignment/>
      <protection locked="0"/>
    </xf>
    <xf numFmtId="2" fontId="4" fillId="0" borderId="87" xfId="52" applyNumberFormat="1" applyFont="1" applyBorder="1">
      <alignment/>
      <protection/>
    </xf>
    <xf numFmtId="171" fontId="4" fillId="0" borderId="0" xfId="52" applyNumberFormat="1" applyFont="1" applyFill="1" applyBorder="1" applyAlignment="1">
      <alignment horizontal="center"/>
      <protection/>
    </xf>
    <xf numFmtId="2" fontId="4" fillId="0" borderId="0" xfId="52" applyNumberFormat="1" applyFont="1">
      <alignment/>
      <protection/>
    </xf>
    <xf numFmtId="171" fontId="46" fillId="33" borderId="0" xfId="52" applyNumberFormat="1" applyFont="1" applyFill="1" applyProtection="1">
      <alignment/>
      <protection hidden="1"/>
    </xf>
    <xf numFmtId="0" fontId="46" fillId="51" borderId="0" xfId="52" applyFont="1" applyFill="1">
      <alignment/>
      <protection/>
    </xf>
    <xf numFmtId="2" fontId="46" fillId="51" borderId="0" xfId="52" applyNumberFormat="1" applyFont="1" applyFill="1" applyAlignment="1">
      <alignment horizontal="center"/>
      <protection/>
    </xf>
    <xf numFmtId="2" fontId="1" fillId="36" borderId="10" xfId="52" applyNumberFormat="1" applyFont="1" applyFill="1" applyBorder="1">
      <alignment/>
      <protection/>
    </xf>
    <xf numFmtId="2" fontId="2" fillId="36" borderId="10" xfId="52" applyNumberFormat="1" applyFont="1" applyFill="1" applyBorder="1">
      <alignment/>
      <protection/>
    </xf>
    <xf numFmtId="2" fontId="4" fillId="0" borderId="61" xfId="52" applyNumberFormat="1" applyFont="1" applyFill="1" applyBorder="1">
      <alignment/>
      <protection/>
    </xf>
    <xf numFmtId="2" fontId="2" fillId="36" borderId="61" xfId="52" applyNumberFormat="1" applyFont="1" applyFill="1" applyBorder="1">
      <alignment/>
      <protection/>
    </xf>
    <xf numFmtId="0" fontId="2" fillId="0" borderId="0" xfId="52" applyFont="1" applyFill="1" applyAlignment="1">
      <alignment horizontal="center" wrapText="1"/>
      <protection/>
    </xf>
    <xf numFmtId="9" fontId="2" fillId="0" borderId="0" xfId="52" applyNumberFormat="1" applyFont="1" applyFill="1" applyAlignment="1" quotePrefix="1">
      <alignment wrapText="1"/>
      <protection/>
    </xf>
    <xf numFmtId="0" fontId="4" fillId="0" borderId="0" xfId="52" applyFont="1" applyFill="1" applyAlignment="1">
      <alignment wrapText="1"/>
      <protection/>
    </xf>
    <xf numFmtId="0" fontId="2" fillId="48" borderId="0" xfId="52" applyFont="1" applyFill="1" applyBorder="1">
      <alignment/>
      <protection/>
    </xf>
    <xf numFmtId="0" fontId="4" fillId="48" borderId="0" xfId="52" applyFont="1" applyFill="1" applyBorder="1">
      <alignment/>
      <protection/>
    </xf>
    <xf numFmtId="0" fontId="1" fillId="48" borderId="0" xfId="52" applyFont="1" applyFill="1" applyAlignment="1">
      <alignment horizontal="left" indent="3"/>
      <protection/>
    </xf>
    <xf numFmtId="0" fontId="1" fillId="48" borderId="0" xfId="52" applyFont="1" applyFill="1" applyAlignment="1">
      <alignment horizontal="left"/>
      <protection/>
    </xf>
    <xf numFmtId="0" fontId="12" fillId="48" borderId="0" xfId="52" applyFont="1" applyFill="1" applyAlignment="1">
      <alignment horizontal="right"/>
      <protection/>
    </xf>
    <xf numFmtId="0" fontId="10" fillId="0" borderId="62" xfId="52" applyFont="1" applyBorder="1" applyAlignment="1">
      <alignment horizontal="center" vertical="top" wrapText="1"/>
      <protection/>
    </xf>
    <xf numFmtId="0" fontId="1" fillId="0" borderId="58" xfId="52" applyFont="1" applyBorder="1" applyAlignment="1">
      <alignment horizontal="center" vertical="top" wrapText="1"/>
      <protection/>
    </xf>
    <xf numFmtId="0" fontId="1" fillId="0" borderId="62" xfId="52" applyFont="1" applyBorder="1" applyAlignment="1">
      <alignment vertical="top" wrapText="1"/>
      <protection/>
    </xf>
    <xf numFmtId="10" fontId="1" fillId="0" borderId="58" xfId="52" applyNumberFormat="1" applyFont="1" applyBorder="1" applyAlignment="1">
      <alignment horizontal="center" vertical="top" wrapText="1"/>
      <protection/>
    </xf>
    <xf numFmtId="0" fontId="4" fillId="37" borderId="10" xfId="52" applyFont="1" applyFill="1" applyBorder="1">
      <alignment/>
      <protection/>
    </xf>
    <xf numFmtId="2" fontId="4" fillId="37" borderId="10" xfId="52" applyNumberFormat="1" applyFont="1" applyFill="1" applyBorder="1">
      <alignment/>
      <protection/>
    </xf>
    <xf numFmtId="2" fontId="4" fillId="37" borderId="10" xfId="69" applyNumberFormat="1" applyFont="1" applyFill="1" applyBorder="1" applyAlignment="1">
      <alignment/>
    </xf>
    <xf numFmtId="171" fontId="4" fillId="37" borderId="10" xfId="69" applyFont="1" applyFill="1" applyBorder="1" applyAlignment="1">
      <alignment/>
    </xf>
    <xf numFmtId="0" fontId="4" fillId="0" borderId="0" xfId="52" applyFont="1" applyFill="1" applyBorder="1">
      <alignment/>
      <protection/>
    </xf>
    <xf numFmtId="2" fontId="4" fillId="0" borderId="0" xfId="52" applyNumberFormat="1" applyFont="1" applyFill="1" applyBorder="1">
      <alignment/>
      <protection/>
    </xf>
    <xf numFmtId="2" fontId="4" fillId="0" borderId="0" xfId="69" applyNumberFormat="1" applyFont="1" applyFill="1" applyBorder="1" applyAlignment="1">
      <alignment/>
    </xf>
    <xf numFmtId="0" fontId="2" fillId="0" borderId="0" xfId="52" applyFont="1" applyFill="1" applyBorder="1" applyAlignment="1">
      <alignment horizontal="center"/>
      <protection/>
    </xf>
    <xf numFmtId="181" fontId="23" fillId="41" borderId="14" xfId="0" applyNumberFormat="1" applyFont="1" applyFill="1" applyBorder="1" applyAlignment="1">
      <alignment horizontal="center"/>
    </xf>
    <xf numFmtId="171" fontId="4" fillId="41" borderId="10" xfId="0" applyNumberFormat="1" applyFont="1" applyFill="1" applyBorder="1" applyAlignment="1">
      <alignment horizontal="center"/>
    </xf>
    <xf numFmtId="0" fontId="9" fillId="33" borderId="17" xfId="52" applyFont="1" applyFill="1" applyBorder="1">
      <alignment/>
      <protection/>
    </xf>
    <xf numFmtId="0" fontId="0" fillId="33" borderId="0" xfId="52" applyFill="1">
      <alignment/>
      <protection/>
    </xf>
    <xf numFmtId="0" fontId="44" fillId="33" borderId="0" xfId="52" applyFont="1" applyFill="1">
      <alignment/>
      <protection/>
    </xf>
    <xf numFmtId="0" fontId="0" fillId="0" borderId="0" xfId="52">
      <alignment/>
      <protection/>
    </xf>
    <xf numFmtId="0" fontId="0" fillId="41" borderId="12" xfId="52" applyFont="1" applyFill="1" applyBorder="1">
      <alignment/>
      <protection/>
    </xf>
    <xf numFmtId="0" fontId="0" fillId="41" borderId="0" xfId="52" applyFont="1" applyFill="1" applyBorder="1">
      <alignment/>
      <protection/>
    </xf>
    <xf numFmtId="17" fontId="0" fillId="33" borderId="39" xfId="52" applyNumberFormat="1" applyFill="1" applyBorder="1" applyAlignment="1">
      <alignment horizontal="center"/>
      <protection/>
    </xf>
    <xf numFmtId="0" fontId="0" fillId="33" borderId="39" xfId="52" applyFill="1" applyBorder="1">
      <alignment/>
      <protection/>
    </xf>
    <xf numFmtId="0" fontId="0" fillId="41" borderId="10" xfId="52" applyFill="1" applyBorder="1" applyAlignment="1">
      <alignment horizontal="center"/>
      <protection/>
    </xf>
    <xf numFmtId="0" fontId="0" fillId="41" borderId="31" xfId="52" applyFill="1" applyBorder="1" applyAlignment="1">
      <alignment horizontal="center"/>
      <protection/>
    </xf>
    <xf numFmtId="0" fontId="0" fillId="41" borderId="10" xfId="52" applyFont="1" applyFill="1" applyBorder="1" applyAlignment="1">
      <alignment horizontal="center"/>
      <protection/>
    </xf>
    <xf numFmtId="181" fontId="0" fillId="33" borderId="39" xfId="52" applyNumberFormat="1" applyFont="1" applyFill="1" applyBorder="1" applyAlignment="1">
      <alignment horizontal="center"/>
      <protection/>
    </xf>
    <xf numFmtId="2" fontId="9" fillId="33" borderId="35" xfId="52" applyNumberFormat="1" applyFont="1" applyFill="1" applyBorder="1">
      <alignment/>
      <protection/>
    </xf>
    <xf numFmtId="0" fontId="0" fillId="33" borderId="64" xfId="52" applyFill="1" applyBorder="1" applyAlignment="1">
      <alignment horizontal="center"/>
      <protection/>
    </xf>
    <xf numFmtId="0" fontId="0" fillId="33" borderId="49" xfId="52" applyFill="1" applyBorder="1" applyAlignment="1">
      <alignment horizontal="center"/>
      <protection/>
    </xf>
    <xf numFmtId="0" fontId="0" fillId="33" borderId="48" xfId="52" applyFill="1" applyBorder="1" applyAlignment="1">
      <alignment horizontal="center"/>
      <protection/>
    </xf>
    <xf numFmtId="0" fontId="0" fillId="41" borderId="69" xfId="52" applyFill="1" applyBorder="1" applyAlignment="1">
      <alignment horizontal="center" vertical="center"/>
      <protection/>
    </xf>
    <xf numFmtId="0" fontId="0" fillId="41" borderId="29" xfId="52" applyFill="1" applyBorder="1" applyAlignment="1">
      <alignment horizontal="left" vertical="center" wrapText="1"/>
      <protection/>
    </xf>
    <xf numFmtId="174" fontId="0" fillId="33" borderId="29" xfId="52" applyNumberFormat="1" applyFill="1" applyBorder="1" applyAlignment="1">
      <alignment horizontal="center" vertical="center"/>
      <protection/>
    </xf>
    <xf numFmtId="0" fontId="0" fillId="33" borderId="29" xfId="52" applyFill="1" applyBorder="1" applyAlignment="1">
      <alignment horizontal="center" vertical="center"/>
      <protection/>
    </xf>
    <xf numFmtId="170" fontId="0" fillId="41" borderId="10" xfId="52" applyNumberFormat="1" applyFont="1" applyFill="1" applyBorder="1" applyAlignment="1">
      <alignment horizontal="center" vertical="center"/>
      <protection/>
    </xf>
    <xf numFmtId="4" fontId="0" fillId="33" borderId="30" xfId="52" applyNumberFormat="1" applyFill="1" applyBorder="1" applyAlignment="1">
      <alignment horizontal="center" vertical="center"/>
      <protection/>
    </xf>
    <xf numFmtId="2" fontId="9" fillId="33" borderId="35" xfId="52" applyNumberFormat="1" applyFont="1" applyFill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0" fillId="41" borderId="37" xfId="52" applyFont="1" applyFill="1" applyBorder="1" applyAlignment="1">
      <alignment horizontal="center" vertical="center"/>
      <protection/>
    </xf>
    <xf numFmtId="0" fontId="0" fillId="41" borderId="10" xfId="52" applyFill="1" applyBorder="1" applyAlignment="1">
      <alignment horizontal="left" vertical="center" wrapText="1"/>
      <protection/>
    </xf>
    <xf numFmtId="174" fontId="0" fillId="33" borderId="10" xfId="52" applyNumberFormat="1" applyFill="1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4" fontId="0" fillId="33" borderId="31" xfId="52" applyNumberFormat="1" applyFill="1" applyBorder="1" applyAlignment="1">
      <alignment horizontal="center" vertical="center"/>
      <protection/>
    </xf>
    <xf numFmtId="0" fontId="0" fillId="0" borderId="10" xfId="52" applyBorder="1">
      <alignment/>
      <protection/>
    </xf>
    <xf numFmtId="0" fontId="0" fillId="41" borderId="37" xfId="52" applyFill="1" applyBorder="1" applyAlignment="1">
      <alignment horizontal="center" vertical="center"/>
      <protection/>
    </xf>
    <xf numFmtId="174" fontId="0" fillId="33" borderId="10" xfId="52" applyNumberFormat="1" applyFont="1" applyFill="1" applyBorder="1" applyAlignment="1">
      <alignment horizontal="center" vertical="center"/>
      <protection/>
    </xf>
    <xf numFmtId="0" fontId="0" fillId="41" borderId="37" xfId="52" applyFont="1" applyFill="1" applyBorder="1" applyAlignment="1">
      <alignment horizontal="center"/>
      <protection/>
    </xf>
    <xf numFmtId="0" fontId="0" fillId="41" borderId="10" xfId="52" applyFont="1" applyFill="1" applyBorder="1" applyAlignment="1">
      <alignment horizontal="left"/>
      <protection/>
    </xf>
    <xf numFmtId="174" fontId="0" fillId="33" borderId="10" xfId="52" applyNumberFormat="1" applyFill="1" applyBorder="1" applyAlignment="1">
      <alignment horizontal="center"/>
      <protection/>
    </xf>
    <xf numFmtId="170" fontId="0" fillId="41" borderId="10" xfId="52" applyNumberFormat="1" applyFont="1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2" fontId="9" fillId="33" borderId="0" xfId="52" applyNumberFormat="1" applyFont="1" applyFill="1" applyBorder="1">
      <alignment/>
      <protection/>
    </xf>
    <xf numFmtId="0" fontId="0" fillId="33" borderId="10" xfId="52" applyFill="1" applyBorder="1" applyAlignment="1">
      <alignment horizontal="left" wrapText="1"/>
      <protection/>
    </xf>
    <xf numFmtId="0" fontId="0" fillId="41" borderId="37" xfId="52" applyFill="1" applyBorder="1" applyAlignment="1">
      <alignment horizontal="center"/>
      <protection/>
    </xf>
    <xf numFmtId="174" fontId="0" fillId="33" borderId="10" xfId="52" applyNumberFormat="1" applyFont="1" applyFill="1" applyBorder="1" applyAlignment="1">
      <alignment horizontal="center"/>
      <protection/>
    </xf>
    <xf numFmtId="4" fontId="0" fillId="33" borderId="31" xfId="52" applyNumberFormat="1" applyFont="1" applyFill="1" applyBorder="1" applyAlignment="1">
      <alignment horizontal="center"/>
      <protection/>
    </xf>
    <xf numFmtId="4" fontId="0" fillId="33" borderId="10" xfId="52" applyNumberFormat="1" applyFont="1" applyFill="1" applyBorder="1" applyAlignment="1">
      <alignment horizontal="center" vertical="center"/>
      <protection/>
    </xf>
    <xf numFmtId="4" fontId="0" fillId="33" borderId="31" xfId="52" applyNumberFormat="1" applyFill="1" applyBorder="1" applyAlignment="1">
      <alignment horizontal="center"/>
      <protection/>
    </xf>
    <xf numFmtId="174" fontId="0" fillId="33" borderId="27" xfId="52" applyNumberFormat="1" applyFill="1" applyBorder="1" applyAlignment="1">
      <alignment horizontal="center"/>
      <protection/>
    </xf>
    <xf numFmtId="4" fontId="0" fillId="33" borderId="27" xfId="52" applyNumberFormat="1" applyFill="1" applyBorder="1" applyAlignment="1">
      <alignment horizontal="center"/>
      <protection/>
    </xf>
    <xf numFmtId="4" fontId="0" fillId="33" borderId="28" xfId="52" applyNumberFormat="1" applyFill="1" applyBorder="1" applyAlignment="1">
      <alignment horizontal="center"/>
      <protection/>
    </xf>
    <xf numFmtId="4" fontId="0" fillId="33" borderId="53" xfId="52" applyNumberFormat="1" applyFill="1" applyBorder="1" applyAlignment="1">
      <alignment horizontal="center"/>
      <protection/>
    </xf>
    <xf numFmtId="0" fontId="13" fillId="33" borderId="71" xfId="52" applyFont="1" applyFill="1" applyBorder="1" applyAlignment="1">
      <alignment horizontal="center" vertical="center"/>
      <protection/>
    </xf>
    <xf numFmtId="0" fontId="0" fillId="33" borderId="36" xfId="52" applyFont="1" applyFill="1" applyBorder="1" applyAlignment="1">
      <alignment vertical="center" wrapText="1"/>
      <protection/>
    </xf>
    <xf numFmtId="4" fontId="0" fillId="33" borderId="36" xfId="52" applyNumberFormat="1" applyFont="1" applyFill="1" applyBorder="1" applyAlignment="1">
      <alignment horizontal="center" vertical="center"/>
      <protection/>
    </xf>
    <xf numFmtId="0" fontId="0" fillId="33" borderId="36" xfId="52" applyFont="1" applyFill="1" applyBorder="1" applyAlignment="1">
      <alignment horizontal="center" vertical="center"/>
      <protection/>
    </xf>
    <xf numFmtId="4" fontId="0" fillId="33" borderId="72" xfId="52" applyNumberFormat="1" applyFont="1" applyFill="1" applyBorder="1" applyAlignment="1">
      <alignment horizontal="center" vertical="center"/>
      <protection/>
    </xf>
    <xf numFmtId="0" fontId="0" fillId="41" borderId="12" xfId="52" applyFill="1" applyBorder="1" applyAlignment="1">
      <alignment horizontal="center" vertical="center"/>
      <protection/>
    </xf>
    <xf numFmtId="0" fontId="0" fillId="33" borderId="0" xfId="52" applyFill="1" applyBorder="1" applyAlignment="1">
      <alignment vertical="center" wrapText="1"/>
      <protection/>
    </xf>
    <xf numFmtId="4" fontId="0" fillId="33" borderId="0" xfId="52" applyNumberFormat="1" applyFill="1" applyBorder="1" applyAlignment="1">
      <alignment horizontal="center" vertical="center"/>
      <protection/>
    </xf>
    <xf numFmtId="0" fontId="0" fillId="33" borderId="0" xfId="52" applyFill="1" applyBorder="1" applyAlignment="1">
      <alignment horizontal="center" vertical="center"/>
      <protection/>
    </xf>
    <xf numFmtId="4" fontId="0" fillId="33" borderId="39" xfId="52" applyNumberFormat="1" applyFill="1" applyBorder="1" applyAlignment="1">
      <alignment horizontal="center" vertical="center"/>
      <protection/>
    </xf>
    <xf numFmtId="4" fontId="0" fillId="33" borderId="0" xfId="52" applyNumberFormat="1" applyFill="1" applyBorder="1" applyAlignment="1">
      <alignment horizontal="center"/>
      <protection/>
    </xf>
    <xf numFmtId="4" fontId="0" fillId="33" borderId="39" xfId="52" applyNumberFormat="1" applyFill="1" applyBorder="1" applyAlignment="1">
      <alignment horizontal="center"/>
      <protection/>
    </xf>
    <xf numFmtId="0" fontId="0" fillId="33" borderId="73" xfId="52" applyFill="1" applyBorder="1" applyAlignment="1">
      <alignment horizontal="center"/>
      <protection/>
    </xf>
    <xf numFmtId="0" fontId="0" fillId="33" borderId="68" xfId="52" applyFill="1" applyBorder="1" applyAlignment="1">
      <alignment horizontal="center"/>
      <protection/>
    </xf>
    <xf numFmtId="4" fontId="0" fillId="33" borderId="68" xfId="52" applyNumberFormat="1" applyFill="1" applyBorder="1" applyAlignment="1">
      <alignment horizontal="center"/>
      <protection/>
    </xf>
    <xf numFmtId="4" fontId="0" fillId="33" borderId="74" xfId="52" applyNumberFormat="1" applyFill="1" applyBorder="1" applyAlignment="1">
      <alignment horizontal="center"/>
      <protection/>
    </xf>
    <xf numFmtId="0" fontId="0" fillId="33" borderId="69" xfId="52" applyFill="1" applyBorder="1" applyAlignment="1">
      <alignment horizontal="center" vertical="top"/>
      <protection/>
    </xf>
    <xf numFmtId="0" fontId="0" fillId="33" borderId="29" xfId="52" applyFill="1" applyBorder="1" applyAlignment="1">
      <alignment vertical="top" wrapText="1"/>
      <protection/>
    </xf>
    <xf numFmtId="4" fontId="0" fillId="33" borderId="29" xfId="52" applyNumberFormat="1" applyFill="1" applyBorder="1" applyAlignment="1">
      <alignment horizontal="center"/>
      <protection/>
    </xf>
    <xf numFmtId="0" fontId="0" fillId="33" borderId="29" xfId="52" applyFill="1" applyBorder="1" applyAlignment="1">
      <alignment horizontal="center"/>
      <protection/>
    </xf>
    <xf numFmtId="170" fontId="0" fillId="41" borderId="29" xfId="52" applyNumberFormat="1" applyFill="1" applyBorder="1">
      <alignment/>
      <protection/>
    </xf>
    <xf numFmtId="4" fontId="0" fillId="33" borderId="30" xfId="52" applyNumberFormat="1" applyFill="1" applyBorder="1" applyAlignment="1">
      <alignment horizontal="center"/>
      <protection/>
    </xf>
    <xf numFmtId="0" fontId="0" fillId="41" borderId="37" xfId="52" applyFill="1" applyBorder="1" applyAlignment="1">
      <alignment horizontal="center" vertical="top"/>
      <protection/>
    </xf>
    <xf numFmtId="0" fontId="0" fillId="41" borderId="10" xfId="52" applyFill="1" applyBorder="1" applyAlignment="1">
      <alignment vertical="top" wrapText="1"/>
      <protection/>
    </xf>
    <xf numFmtId="4" fontId="0" fillId="33" borderId="10" xfId="52" applyNumberFormat="1" applyFill="1" applyBorder="1" applyAlignment="1">
      <alignment horizontal="center"/>
      <protection/>
    </xf>
    <xf numFmtId="170" fontId="0" fillId="41" borderId="10" xfId="52" applyNumberFormat="1" applyFill="1" applyBorder="1">
      <alignment/>
      <protection/>
    </xf>
    <xf numFmtId="0" fontId="0" fillId="33" borderId="10" xfId="52" applyFill="1" applyBorder="1" applyAlignment="1">
      <alignment horizontal="left"/>
      <protection/>
    </xf>
    <xf numFmtId="0" fontId="0" fillId="33" borderId="24" xfId="52" applyFill="1" applyBorder="1" applyAlignment="1">
      <alignment horizontal="center" vertical="center"/>
      <protection/>
    </xf>
    <xf numFmtId="0" fontId="0" fillId="33" borderId="27" xfId="52" applyFill="1" applyBorder="1" applyAlignment="1">
      <alignment horizontal="left" vertical="center" wrapText="1"/>
      <protection/>
    </xf>
    <xf numFmtId="4" fontId="0" fillId="33" borderId="27" xfId="52" applyNumberFormat="1" applyFill="1" applyBorder="1" applyAlignment="1">
      <alignment horizontal="center" vertical="center"/>
      <protection/>
    </xf>
    <xf numFmtId="0" fontId="0" fillId="33" borderId="27" xfId="52" applyFill="1" applyBorder="1" applyAlignment="1">
      <alignment horizontal="center" vertical="center"/>
      <protection/>
    </xf>
    <xf numFmtId="4" fontId="0" fillId="33" borderId="28" xfId="52" applyNumberFormat="1" applyFill="1" applyBorder="1" applyAlignment="1">
      <alignment horizontal="center" vertical="center"/>
      <protection/>
    </xf>
    <xf numFmtId="10" fontId="0" fillId="33" borderId="10" xfId="52" applyNumberFormat="1" applyFont="1" applyFill="1" applyBorder="1">
      <alignment/>
      <protection/>
    </xf>
    <xf numFmtId="0" fontId="13" fillId="33" borderId="0" xfId="52" applyFont="1" applyFill="1">
      <alignment/>
      <protection/>
    </xf>
    <xf numFmtId="0" fontId="0" fillId="41" borderId="24" xfId="52" applyFill="1" applyBorder="1" applyAlignment="1">
      <alignment horizontal="center"/>
      <protection/>
    </xf>
    <xf numFmtId="181" fontId="0" fillId="0" borderId="0" xfId="0" applyNumberFormat="1" applyFont="1" applyAlignment="1">
      <alignment/>
    </xf>
    <xf numFmtId="170" fontId="0" fillId="41" borderId="29" xfId="52" applyNumberFormat="1" applyFont="1" applyFill="1" applyBorder="1" applyAlignment="1">
      <alignment horizontal="center" vertical="center"/>
      <protection/>
    </xf>
    <xf numFmtId="0" fontId="3" fillId="0" borderId="5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9" fillId="0" borderId="0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" fillId="0" borderId="14" xfId="52" applyFont="1" applyBorder="1" applyAlignment="1">
      <alignment horizontal="left"/>
      <protection/>
    </xf>
    <xf numFmtId="0" fontId="2" fillId="0" borderId="75" xfId="52" applyFont="1" applyBorder="1" applyAlignment="1">
      <alignment horizontal="left"/>
      <protection/>
    </xf>
    <xf numFmtId="0" fontId="23" fillId="0" borderId="0" xfId="52" applyFont="1" applyBorder="1" applyAlignment="1">
      <alignment horizontal="center"/>
      <protection/>
    </xf>
    <xf numFmtId="49" fontId="0" fillId="33" borderId="60" xfId="52" applyNumberFormat="1" applyFill="1" applyBorder="1" applyAlignment="1">
      <alignment horizontal="left"/>
      <protection/>
    </xf>
    <xf numFmtId="49" fontId="0" fillId="33" borderId="53" xfId="52" applyNumberFormat="1" applyFill="1" applyBorder="1" applyAlignment="1">
      <alignment horizontal="left"/>
      <protection/>
    </xf>
    <xf numFmtId="0" fontId="10" fillId="0" borderId="69" xfId="52" applyFont="1" applyFill="1" applyBorder="1" applyAlignment="1">
      <alignment horizontal="center" vertical="center" wrapText="1"/>
      <protection/>
    </xf>
    <xf numFmtId="0" fontId="10" fillId="0" borderId="30" xfId="52" applyFont="1" applyFill="1" applyBorder="1" applyAlignment="1">
      <alignment horizontal="center" vertical="center" wrapText="1"/>
      <protection/>
    </xf>
    <xf numFmtId="0" fontId="0" fillId="33" borderId="12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39" xfId="52" applyFill="1" applyBorder="1" applyAlignment="1">
      <alignment horizontal="center"/>
      <protection/>
    </xf>
    <xf numFmtId="0" fontId="10" fillId="0" borderId="24" xfId="52" applyNumberFormat="1" applyFont="1" applyFill="1" applyBorder="1" applyAlignment="1">
      <alignment horizontal="center" vertical="center" wrapText="1"/>
      <protection/>
    </xf>
    <xf numFmtId="0" fontId="10" fillId="0" borderId="52" xfId="52" applyNumberFormat="1" applyFont="1" applyFill="1" applyBorder="1" applyAlignment="1">
      <alignment horizontal="center" vertical="center" wrapText="1"/>
      <protection/>
    </xf>
    <xf numFmtId="175" fontId="1" fillId="33" borderId="43" xfId="52" applyNumberFormat="1" applyFont="1" applyFill="1" applyBorder="1" applyAlignment="1">
      <alignment horizontal="center" vertical="top" wrapText="1"/>
      <protection/>
    </xf>
    <xf numFmtId="175" fontId="1" fillId="33" borderId="44" xfId="52" applyNumberFormat="1" applyFont="1" applyFill="1" applyBorder="1" applyAlignment="1">
      <alignment horizontal="center" vertical="top" wrapText="1"/>
      <protection/>
    </xf>
    <xf numFmtId="175" fontId="1" fillId="33" borderId="45" xfId="52" applyNumberFormat="1" applyFont="1" applyFill="1" applyBorder="1" applyAlignment="1">
      <alignment horizontal="center" vertical="top" wrapText="1"/>
      <protection/>
    </xf>
    <xf numFmtId="0" fontId="0" fillId="33" borderId="43" xfId="52" applyFont="1" applyFill="1" applyBorder="1" applyAlignment="1">
      <alignment horizontal="left"/>
      <protection/>
    </xf>
    <xf numFmtId="0" fontId="0" fillId="33" borderId="44" xfId="52" applyFill="1" applyBorder="1" applyAlignment="1">
      <alignment horizontal="left"/>
      <protection/>
    </xf>
    <xf numFmtId="0" fontId="0" fillId="33" borderId="67" xfId="52" applyFill="1" applyBorder="1" applyAlignment="1">
      <alignment horizontal="left"/>
      <protection/>
    </xf>
    <xf numFmtId="49" fontId="0" fillId="33" borderId="51" xfId="52" applyNumberFormat="1" applyFill="1" applyBorder="1" applyAlignment="1">
      <alignment horizontal="left"/>
      <protection/>
    </xf>
    <xf numFmtId="49" fontId="0" fillId="33" borderId="89" xfId="52" applyNumberFormat="1" applyFill="1" applyBorder="1" applyAlignment="1">
      <alignment horizontal="left"/>
      <protection/>
    </xf>
    <xf numFmtId="0" fontId="10" fillId="0" borderId="69" xfId="52" applyNumberFormat="1" applyFont="1" applyFill="1" applyBorder="1" applyAlignment="1">
      <alignment horizontal="center" vertical="center" wrapText="1"/>
      <protection/>
    </xf>
    <xf numFmtId="0" fontId="10" fillId="0" borderId="76" xfId="52" applyNumberFormat="1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39" xfId="52" applyFont="1" applyFill="1" applyBorder="1" applyAlignment="1">
      <alignment horizontal="center"/>
      <protection/>
    </xf>
    <xf numFmtId="0" fontId="0" fillId="33" borderId="46" xfId="52" applyFill="1" applyBorder="1" applyAlignment="1">
      <alignment horizontal="center"/>
      <protection/>
    </xf>
    <xf numFmtId="0" fontId="0" fillId="33" borderId="25" xfId="52" applyFill="1" applyBorder="1" applyAlignment="1">
      <alignment horizontal="center"/>
      <protection/>
    </xf>
    <xf numFmtId="0" fontId="0" fillId="33" borderId="58" xfId="52" applyFill="1" applyBorder="1" applyAlignment="1">
      <alignment horizontal="center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5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46" xfId="52" applyFont="1" applyFill="1" applyBorder="1" applyAlignment="1">
      <alignment horizontal="center" vertical="center" wrapText="1"/>
      <protection/>
    </xf>
    <xf numFmtId="0" fontId="10" fillId="0" borderId="59" xfId="52" applyFont="1" applyFill="1" applyBorder="1" applyAlignment="1">
      <alignment horizontal="center" vertical="center" wrapText="1"/>
      <protection/>
    </xf>
    <xf numFmtId="0" fontId="10" fillId="0" borderId="62" xfId="52" applyFont="1" applyFill="1" applyBorder="1" applyAlignment="1">
      <alignment horizontal="center" vertical="center" wrapText="1"/>
      <protection/>
    </xf>
    <xf numFmtId="170" fontId="31" fillId="0" borderId="37" xfId="47" applyFont="1" applyBorder="1" applyAlignment="1">
      <alignment horizontal="left"/>
    </xf>
    <xf numFmtId="170" fontId="31" fillId="0" borderId="10" xfId="47" applyFont="1" applyBorder="1" applyAlignment="1">
      <alignment horizontal="left"/>
    </xf>
    <xf numFmtId="170" fontId="31" fillId="0" borderId="51" xfId="47" applyFont="1" applyBorder="1" applyAlignment="1">
      <alignment horizontal="left"/>
    </xf>
    <xf numFmtId="0" fontId="18" fillId="0" borderId="13" xfId="57" applyFont="1" applyBorder="1" applyAlignment="1">
      <alignment horizontal="center"/>
      <protection/>
    </xf>
    <xf numFmtId="0" fontId="18" fillId="0" borderId="14" xfId="57" applyFont="1" applyBorder="1" applyAlignment="1">
      <alignment horizontal="center"/>
      <protection/>
    </xf>
    <xf numFmtId="0" fontId="18" fillId="0" borderId="75" xfId="57" applyFont="1" applyBorder="1" applyAlignment="1">
      <alignment horizontal="center"/>
      <protection/>
    </xf>
    <xf numFmtId="0" fontId="31" fillId="38" borderId="37" xfId="53" applyFont="1" applyFill="1" applyBorder="1" applyAlignment="1">
      <alignment horizontal="left"/>
      <protection/>
    </xf>
    <xf numFmtId="0" fontId="31" fillId="38" borderId="10" xfId="53" applyFont="1" applyFill="1" applyBorder="1" applyAlignment="1">
      <alignment horizontal="left"/>
      <protection/>
    </xf>
    <xf numFmtId="0" fontId="31" fillId="39" borderId="24" xfId="53" applyFont="1" applyFill="1" applyBorder="1" applyAlignment="1">
      <alignment horizontal="left"/>
      <protection/>
    </xf>
    <xf numFmtId="0" fontId="31" fillId="39" borderId="27" xfId="53" applyFont="1" applyFill="1" applyBorder="1" applyAlignment="1">
      <alignment horizontal="left"/>
      <protection/>
    </xf>
    <xf numFmtId="170" fontId="31" fillId="0" borderId="70" xfId="47" applyFont="1" applyBorder="1" applyAlignment="1">
      <alignment horizontal="left"/>
    </xf>
    <xf numFmtId="170" fontId="31" fillId="0" borderId="60" xfId="47" applyFont="1" applyBorder="1" applyAlignment="1">
      <alignment horizontal="left"/>
    </xf>
    <xf numFmtId="170" fontId="31" fillId="0" borderId="55" xfId="47" applyFont="1" applyBorder="1" applyAlignment="1">
      <alignment horizontal="left"/>
    </xf>
    <xf numFmtId="170" fontId="31" fillId="0" borderId="24" xfId="47" applyFont="1" applyBorder="1" applyAlignment="1">
      <alignment horizontal="left"/>
    </xf>
    <xf numFmtId="170" fontId="31" fillId="0" borderId="27" xfId="47" applyFont="1" applyBorder="1" applyAlignment="1">
      <alignment horizontal="left"/>
    </xf>
    <xf numFmtId="170" fontId="31" fillId="0" borderId="52" xfId="47" applyFont="1" applyBorder="1" applyAlignment="1">
      <alignment horizontal="left"/>
    </xf>
    <xf numFmtId="0" fontId="31" fillId="0" borderId="37" xfId="53" applyFont="1" applyBorder="1" applyAlignment="1">
      <alignment horizontal="left"/>
      <protection/>
    </xf>
    <xf numFmtId="0" fontId="31" fillId="0" borderId="10" xfId="53" applyFont="1" applyBorder="1" applyAlignment="1">
      <alignment horizontal="left"/>
      <protection/>
    </xf>
    <xf numFmtId="0" fontId="31" fillId="36" borderId="37" xfId="53" applyFont="1" applyFill="1" applyBorder="1" applyAlignment="1">
      <alignment horizontal="left"/>
      <protection/>
    </xf>
    <xf numFmtId="0" fontId="31" fillId="36" borderId="10" xfId="53" applyFont="1" applyFill="1" applyBorder="1" applyAlignment="1">
      <alignment horizontal="left"/>
      <protection/>
    </xf>
    <xf numFmtId="0" fontId="31" fillId="37" borderId="37" xfId="53" applyFont="1" applyFill="1" applyBorder="1" applyAlignment="1">
      <alignment horizontal="left"/>
      <protection/>
    </xf>
    <xf numFmtId="0" fontId="31" fillId="37" borderId="10" xfId="53" applyFont="1" applyFill="1" applyBorder="1" applyAlignment="1">
      <alignment horizontal="left"/>
      <protection/>
    </xf>
    <xf numFmtId="0" fontId="31" fillId="39" borderId="37" xfId="53" applyFont="1" applyFill="1" applyBorder="1" applyAlignment="1">
      <alignment horizontal="left"/>
      <protection/>
    </xf>
    <xf numFmtId="0" fontId="31" fillId="39" borderId="10" xfId="53" applyFont="1" applyFill="1" applyBorder="1" applyAlignment="1">
      <alignment horizontal="left"/>
      <protection/>
    </xf>
    <xf numFmtId="0" fontId="31" fillId="40" borderId="37" xfId="53" applyFont="1" applyFill="1" applyBorder="1" applyAlignment="1">
      <alignment horizontal="left"/>
      <protection/>
    </xf>
    <xf numFmtId="0" fontId="31" fillId="40" borderId="10" xfId="53" applyFont="1" applyFill="1" applyBorder="1" applyAlignment="1">
      <alignment horizontal="left"/>
      <protection/>
    </xf>
    <xf numFmtId="0" fontId="31" fillId="35" borderId="37" xfId="53" applyFont="1" applyFill="1" applyBorder="1" applyAlignment="1">
      <alignment horizontal="left"/>
      <protection/>
    </xf>
    <xf numFmtId="0" fontId="31" fillId="35" borderId="10" xfId="53" applyFont="1" applyFill="1" applyBorder="1" applyAlignment="1">
      <alignment horizontal="left"/>
      <protection/>
    </xf>
    <xf numFmtId="0" fontId="31" fillId="35" borderId="69" xfId="53" applyFont="1" applyFill="1" applyBorder="1" applyAlignment="1">
      <alignment horizontal="left"/>
      <protection/>
    </xf>
    <xf numFmtId="0" fontId="31" fillId="35" borderId="29" xfId="53" applyFont="1" applyFill="1" applyBorder="1" applyAlignment="1">
      <alignment horizontal="left"/>
      <protection/>
    </xf>
    <xf numFmtId="0" fontId="19" fillId="0" borderId="0" xfId="56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49" fontId="2" fillId="0" borderId="13" xfId="56" applyNumberFormat="1" applyFont="1" applyBorder="1" applyAlignment="1">
      <alignment horizontal="center"/>
      <protection/>
    </xf>
    <xf numFmtId="49" fontId="2" fillId="0" borderId="14" xfId="56" applyNumberFormat="1" applyFont="1" applyBorder="1" applyAlignment="1">
      <alignment horizontal="center"/>
      <protection/>
    </xf>
    <xf numFmtId="0" fontId="23" fillId="0" borderId="13" xfId="56" applyFont="1" applyBorder="1" applyAlignment="1">
      <alignment horizontal="center"/>
      <protection/>
    </xf>
    <xf numFmtId="0" fontId="23" fillId="0" borderId="14" xfId="56" applyFont="1" applyBorder="1" applyAlignment="1">
      <alignment horizontal="center"/>
      <protection/>
    </xf>
    <xf numFmtId="0" fontId="23" fillId="0" borderId="75" xfId="56" applyFont="1" applyBorder="1" applyAlignment="1">
      <alignment horizontal="center"/>
      <protection/>
    </xf>
    <xf numFmtId="0" fontId="22" fillId="0" borderId="14" xfId="56" applyFont="1" applyBorder="1" applyAlignment="1">
      <alignment horizontal="left"/>
      <protection/>
    </xf>
    <xf numFmtId="0" fontId="22" fillId="0" borderId="75" xfId="56" applyFont="1" applyBorder="1" applyAlignment="1">
      <alignment horizontal="left"/>
      <protection/>
    </xf>
    <xf numFmtId="49" fontId="21" fillId="0" borderId="13" xfId="56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75" xfId="0" applyBorder="1" applyAlignment="1">
      <alignment/>
    </xf>
    <xf numFmtId="0" fontId="22" fillId="0" borderId="13" xfId="56" applyFont="1" applyBorder="1" applyAlignment="1">
      <alignment horizontal="center"/>
      <protection/>
    </xf>
    <xf numFmtId="0" fontId="22" fillId="0" borderId="14" xfId="56" applyFont="1" applyBorder="1" applyAlignment="1">
      <alignment horizontal="center"/>
      <protection/>
    </xf>
    <xf numFmtId="0" fontId="22" fillId="0" borderId="75" xfId="56" applyFont="1" applyBorder="1" applyAlignment="1">
      <alignment horizontal="center"/>
      <protection/>
    </xf>
    <xf numFmtId="0" fontId="31" fillId="39" borderId="61" xfId="53" applyFont="1" applyFill="1" applyBorder="1" applyAlignment="1">
      <alignment horizontal="left"/>
      <protection/>
    </xf>
    <xf numFmtId="0" fontId="18" fillId="0" borderId="0" xfId="57" applyFont="1" applyBorder="1" applyAlignment="1">
      <alignment horizontal="center"/>
      <protection/>
    </xf>
    <xf numFmtId="0" fontId="28" fillId="0" borderId="0" xfId="56" applyFont="1" applyBorder="1" applyAlignment="1">
      <alignment horizontal="center"/>
      <protection/>
    </xf>
    <xf numFmtId="0" fontId="18" fillId="0" borderId="11" xfId="53" applyFont="1" applyFill="1" applyBorder="1" applyAlignment="1">
      <alignment horizontal="center" vertical="center"/>
      <protection/>
    </xf>
    <xf numFmtId="0" fontId="18" fillId="0" borderId="66" xfId="53" applyFont="1" applyFill="1" applyBorder="1" applyAlignment="1">
      <alignment horizontal="center" vertical="center"/>
      <protection/>
    </xf>
    <xf numFmtId="0" fontId="30" fillId="0" borderId="90" xfId="53" applyFont="1" applyBorder="1" applyAlignment="1">
      <alignment horizontal="center"/>
      <protection/>
    </xf>
    <xf numFmtId="0" fontId="30" fillId="0" borderId="47" xfId="53" applyFont="1" applyBorder="1" applyAlignment="1">
      <alignment horizontal="center"/>
      <protection/>
    </xf>
    <xf numFmtId="0" fontId="30" fillId="0" borderId="40" xfId="53" applyFont="1" applyBorder="1" applyAlignment="1">
      <alignment horizontal="center"/>
      <protection/>
    </xf>
    <xf numFmtId="0" fontId="30" fillId="0" borderId="41" xfId="53" applyFont="1" applyBorder="1" applyAlignment="1">
      <alignment horizontal="center"/>
      <protection/>
    </xf>
    <xf numFmtId="0" fontId="30" fillId="0" borderId="82" xfId="53" applyFont="1" applyBorder="1" applyAlignment="1">
      <alignment horizontal="center"/>
      <protection/>
    </xf>
    <xf numFmtId="170" fontId="31" fillId="0" borderId="11" xfId="47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57" xfId="0" applyBorder="1" applyAlignment="1">
      <alignment/>
    </xf>
    <xf numFmtId="0" fontId="0" fillId="0" borderId="46" xfId="0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/>
    </xf>
    <xf numFmtId="0" fontId="17" fillId="0" borderId="59" xfId="53" applyBorder="1" applyAlignment="1">
      <alignment horizontal="center"/>
      <protection/>
    </xf>
    <xf numFmtId="0" fontId="17" fillId="0" borderId="19" xfId="53" applyBorder="1" applyAlignment="1">
      <alignment horizontal="center"/>
      <protection/>
    </xf>
    <xf numFmtId="0" fontId="17" fillId="0" borderId="62" xfId="53" applyBorder="1" applyAlignment="1">
      <alignment horizontal="center"/>
      <protection/>
    </xf>
    <xf numFmtId="170" fontId="31" fillId="0" borderId="91" xfId="47" applyFont="1" applyBorder="1" applyAlignment="1">
      <alignment horizontal="left"/>
    </xf>
    <xf numFmtId="0" fontId="31" fillId="0" borderId="64" xfId="53" applyFont="1" applyBorder="1" applyAlignment="1">
      <alignment horizontal="left"/>
      <protection/>
    </xf>
    <xf numFmtId="0" fontId="31" fillId="0" borderId="49" xfId="53" applyFont="1" applyBorder="1" applyAlignment="1">
      <alignment horizontal="left"/>
      <protection/>
    </xf>
    <xf numFmtId="0" fontId="31" fillId="42" borderId="91" xfId="53" applyFont="1" applyFill="1" applyBorder="1" applyAlignment="1">
      <alignment horizontal="left"/>
      <protection/>
    </xf>
    <xf numFmtId="0" fontId="31" fillId="42" borderId="60" xfId="53" applyFont="1" applyFill="1" applyBorder="1" applyAlignment="1">
      <alignment horizontal="left"/>
      <protection/>
    </xf>
    <xf numFmtId="0" fontId="31" fillId="35" borderId="61" xfId="53" applyFont="1" applyFill="1" applyBorder="1" applyAlignment="1">
      <alignment horizontal="left"/>
      <protection/>
    </xf>
    <xf numFmtId="170" fontId="31" fillId="0" borderId="61" xfId="47" applyFont="1" applyBorder="1" applyAlignment="1">
      <alignment horizontal="left"/>
    </xf>
    <xf numFmtId="0" fontId="31" fillId="0" borderId="69" xfId="53" applyFont="1" applyBorder="1" applyAlignment="1">
      <alignment horizontal="left"/>
      <protection/>
    </xf>
    <xf numFmtId="0" fontId="31" fillId="0" borderId="29" xfId="53" applyFont="1" applyBorder="1" applyAlignment="1">
      <alignment horizontal="left"/>
      <protection/>
    </xf>
    <xf numFmtId="0" fontId="17" fillId="0" borderId="13" xfId="53" applyBorder="1" applyAlignment="1">
      <alignment horizontal="center"/>
      <protection/>
    </xf>
    <xf numFmtId="0" fontId="17" fillId="0" borderId="14" xfId="53" applyBorder="1" applyAlignment="1">
      <alignment horizontal="center"/>
      <protection/>
    </xf>
    <xf numFmtId="0" fontId="17" fillId="0" borderId="75" xfId="53" applyBorder="1" applyAlignment="1">
      <alignment horizontal="center"/>
      <protection/>
    </xf>
    <xf numFmtId="170" fontId="31" fillId="0" borderId="26" xfId="47" applyFont="1" applyBorder="1" applyAlignment="1">
      <alignment horizontal="left"/>
    </xf>
    <xf numFmtId="39" fontId="31" fillId="0" borderId="11" xfId="47" applyNumberFormat="1" applyFont="1" applyBorder="1" applyAlignment="1">
      <alignment horizontal="right" vertical="center"/>
    </xf>
    <xf numFmtId="39" fontId="31" fillId="0" borderId="62" xfId="47" applyNumberFormat="1" applyFont="1" applyBorder="1" applyAlignment="1">
      <alignment horizontal="right" vertical="center"/>
    </xf>
    <xf numFmtId="0" fontId="31" fillId="36" borderId="61" xfId="53" applyFont="1" applyFill="1" applyBorder="1" applyAlignment="1">
      <alignment horizontal="left"/>
      <protection/>
    </xf>
    <xf numFmtId="0" fontId="31" fillId="37" borderId="61" xfId="53" applyFont="1" applyFill="1" applyBorder="1" applyAlignment="1">
      <alignment horizontal="left"/>
      <protection/>
    </xf>
    <xf numFmtId="0" fontId="30" fillId="0" borderId="59" xfId="53" applyFont="1" applyBorder="1" applyAlignment="1">
      <alignment horizontal="center"/>
      <protection/>
    </xf>
    <xf numFmtId="0" fontId="30" fillId="0" borderId="19" xfId="53" applyFont="1" applyBorder="1" applyAlignment="1">
      <alignment horizontal="center"/>
      <protection/>
    </xf>
    <xf numFmtId="0" fontId="30" fillId="0" borderId="62" xfId="53" applyFont="1" applyBorder="1" applyAlignment="1">
      <alignment horizontal="center"/>
      <protection/>
    </xf>
    <xf numFmtId="0" fontId="31" fillId="39" borderId="64" xfId="53" applyFont="1" applyFill="1" applyBorder="1" applyAlignment="1">
      <alignment horizontal="left"/>
      <protection/>
    </xf>
    <xf numFmtId="0" fontId="31" fillId="39" borderId="49" xfId="53" applyFont="1" applyFill="1" applyBorder="1" applyAlignment="1">
      <alignment horizontal="left"/>
      <protection/>
    </xf>
    <xf numFmtId="0" fontId="31" fillId="38" borderId="61" xfId="53" applyFont="1" applyFill="1" applyBorder="1" applyAlignment="1">
      <alignment horizontal="left"/>
      <protection/>
    </xf>
    <xf numFmtId="0" fontId="31" fillId="39" borderId="77" xfId="53" applyFont="1" applyFill="1" applyBorder="1" applyAlignment="1">
      <alignment horizontal="left"/>
      <protection/>
    </xf>
    <xf numFmtId="0" fontId="31" fillId="40" borderId="61" xfId="53" applyFont="1" applyFill="1" applyBorder="1" applyAlignment="1">
      <alignment horizontal="left"/>
      <protection/>
    </xf>
    <xf numFmtId="0" fontId="31" fillId="0" borderId="61" xfId="53" applyFont="1" applyBorder="1" applyAlignment="1">
      <alignment horizontal="left"/>
      <protection/>
    </xf>
    <xf numFmtId="171" fontId="4" fillId="41" borderId="49" xfId="0" applyNumberFormat="1" applyFont="1" applyFill="1" applyBorder="1" applyAlignment="1">
      <alignment horizontal="center" vertical="center"/>
    </xf>
    <xf numFmtId="171" fontId="4" fillId="41" borderId="47" xfId="0" applyNumberFormat="1" applyFont="1" applyFill="1" applyBorder="1" applyAlignment="1">
      <alignment horizontal="center" vertical="center"/>
    </xf>
    <xf numFmtId="171" fontId="4" fillId="41" borderId="60" xfId="0" applyNumberFormat="1" applyFont="1" applyFill="1" applyBorder="1" applyAlignment="1">
      <alignment horizontal="center" vertical="center"/>
    </xf>
    <xf numFmtId="171" fontId="4" fillId="41" borderId="49" xfId="0" applyNumberFormat="1" applyFont="1" applyFill="1" applyBorder="1" applyAlignment="1">
      <alignment horizontal="left" vertical="center"/>
    </xf>
    <xf numFmtId="171" fontId="4" fillId="41" borderId="47" xfId="0" applyNumberFormat="1" applyFont="1" applyFill="1" applyBorder="1" applyAlignment="1">
      <alignment horizontal="left" vertical="center"/>
    </xf>
    <xf numFmtId="171" fontId="4" fillId="41" borderId="60" xfId="0" applyNumberFormat="1" applyFont="1" applyFill="1" applyBorder="1" applyAlignment="1">
      <alignment horizontal="left" vertical="center"/>
    </xf>
    <xf numFmtId="171" fontId="4" fillId="41" borderId="64" xfId="0" applyNumberFormat="1" applyFont="1" applyFill="1" applyBorder="1" applyAlignment="1">
      <alignment horizontal="center" vertical="center"/>
    </xf>
    <xf numFmtId="171" fontId="4" fillId="41" borderId="90" xfId="0" applyNumberFormat="1" applyFont="1" applyFill="1" applyBorder="1" applyAlignment="1">
      <alignment horizontal="center" vertical="center"/>
    </xf>
    <xf numFmtId="171" fontId="4" fillId="41" borderId="70" xfId="0" applyNumberFormat="1" applyFont="1" applyFill="1" applyBorder="1" applyAlignment="1">
      <alignment horizontal="center" vertical="center"/>
    </xf>
    <xf numFmtId="171" fontId="4" fillId="41" borderId="10" xfId="0" applyNumberFormat="1" applyFont="1" applyFill="1" applyBorder="1" applyAlignment="1">
      <alignment horizontal="center"/>
    </xf>
    <xf numFmtId="171" fontId="4" fillId="41" borderId="31" xfId="0" applyNumberFormat="1" applyFont="1" applyFill="1" applyBorder="1" applyAlignment="1">
      <alignment horizontal="center"/>
    </xf>
    <xf numFmtId="0" fontId="12" fillId="41" borderId="12" xfId="0" applyFont="1" applyFill="1" applyBorder="1" applyAlignment="1">
      <alignment horizontal="center"/>
    </xf>
    <xf numFmtId="0" fontId="12" fillId="41" borderId="0" xfId="0" applyFont="1" applyFill="1" applyBorder="1" applyAlignment="1">
      <alignment horizontal="center"/>
    </xf>
    <xf numFmtId="0" fontId="12" fillId="41" borderId="39" xfId="0" applyFont="1" applyFill="1" applyBorder="1" applyAlignment="1">
      <alignment horizontal="center"/>
    </xf>
    <xf numFmtId="0" fontId="12" fillId="41" borderId="12" xfId="0" applyFont="1" applyFill="1" applyBorder="1" applyAlignment="1">
      <alignment horizontal="left"/>
    </xf>
    <xf numFmtId="0" fontId="12" fillId="41" borderId="0" xfId="0" applyFont="1" applyFill="1" applyBorder="1" applyAlignment="1">
      <alignment horizontal="left"/>
    </xf>
    <xf numFmtId="0" fontId="12" fillId="41" borderId="39" xfId="0" applyFont="1" applyFill="1" applyBorder="1" applyAlignment="1">
      <alignment horizontal="left"/>
    </xf>
    <xf numFmtId="0" fontId="35" fillId="41" borderId="12" xfId="0" applyFont="1" applyFill="1" applyBorder="1" applyAlignment="1">
      <alignment horizontal="center"/>
    </xf>
    <xf numFmtId="0" fontId="35" fillId="41" borderId="0" xfId="0" applyFont="1" applyFill="1" applyBorder="1" applyAlignment="1">
      <alignment horizontal="center"/>
    </xf>
    <xf numFmtId="0" fontId="35" fillId="41" borderId="39" xfId="0" applyFont="1" applyFill="1" applyBorder="1" applyAlignment="1">
      <alignment horizontal="center"/>
    </xf>
    <xf numFmtId="0" fontId="10" fillId="41" borderId="46" xfId="0" applyFont="1" applyFill="1" applyBorder="1" applyAlignment="1">
      <alignment horizontal="center"/>
    </xf>
    <xf numFmtId="0" fontId="10" fillId="41" borderId="25" xfId="0" applyFont="1" applyFill="1" applyBorder="1" applyAlignment="1">
      <alignment horizontal="center"/>
    </xf>
    <xf numFmtId="0" fontId="12" fillId="41" borderId="11" xfId="0" applyFont="1" applyFill="1" applyBorder="1" applyAlignment="1">
      <alignment horizontal="left"/>
    </xf>
    <xf numFmtId="0" fontId="12" fillId="41" borderId="17" xfId="0" applyFont="1" applyFill="1" applyBorder="1" applyAlignment="1">
      <alignment horizontal="left"/>
    </xf>
    <xf numFmtId="10" fontId="10" fillId="41" borderId="92" xfId="0" applyNumberFormat="1" applyFont="1" applyFill="1" applyBorder="1" applyAlignment="1">
      <alignment horizontal="right"/>
    </xf>
    <xf numFmtId="10" fontId="10" fillId="41" borderId="50" xfId="0" applyNumberFormat="1" applyFont="1" applyFill="1" applyBorder="1" applyAlignment="1">
      <alignment horizontal="right"/>
    </xf>
    <xf numFmtId="171" fontId="4" fillId="41" borderId="52" xfId="0" applyNumberFormat="1" applyFont="1" applyFill="1" applyBorder="1" applyAlignment="1">
      <alignment horizontal="center"/>
    </xf>
    <xf numFmtId="171" fontId="4" fillId="41" borderId="65" xfId="0" applyNumberFormat="1" applyFont="1" applyFill="1" applyBorder="1" applyAlignment="1">
      <alignment horizontal="center"/>
    </xf>
    <xf numFmtId="171" fontId="4" fillId="41" borderId="27" xfId="0" applyNumberFormat="1" applyFont="1" applyFill="1" applyBorder="1" applyAlignment="1">
      <alignment horizontal="center"/>
    </xf>
    <xf numFmtId="171" fontId="4" fillId="41" borderId="28" xfId="0" applyNumberFormat="1" applyFont="1" applyFill="1" applyBorder="1" applyAlignment="1">
      <alignment horizontal="center"/>
    </xf>
    <xf numFmtId="171" fontId="4" fillId="41" borderId="49" xfId="0" applyNumberFormat="1" applyFont="1" applyFill="1" applyBorder="1" applyAlignment="1">
      <alignment horizontal="center"/>
    </xf>
    <xf numFmtId="171" fontId="4" fillId="41" borderId="48" xfId="0" applyNumberFormat="1" applyFont="1" applyFill="1" applyBorder="1" applyAlignment="1">
      <alignment horizontal="center"/>
    </xf>
    <xf numFmtId="0" fontId="21" fillId="41" borderId="0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left"/>
    </xf>
    <xf numFmtId="0" fontId="3" fillId="41" borderId="0" xfId="0" applyFont="1" applyFill="1" applyBorder="1" applyAlignment="1">
      <alignment horizontal="left"/>
    </xf>
    <xf numFmtId="0" fontId="3" fillId="41" borderId="25" xfId="0" applyFont="1" applyFill="1" applyBorder="1" applyAlignment="1">
      <alignment horizontal="left"/>
    </xf>
    <xf numFmtId="171" fontId="4" fillId="41" borderId="60" xfId="0" applyNumberFormat="1" applyFont="1" applyFill="1" applyBorder="1" applyAlignment="1">
      <alignment horizontal="left"/>
    </xf>
    <xf numFmtId="171" fontId="4" fillId="41" borderId="53" xfId="0" applyNumberFormat="1" applyFont="1" applyFill="1" applyBorder="1" applyAlignment="1">
      <alignment horizontal="left"/>
    </xf>
    <xf numFmtId="171" fontId="4" fillId="41" borderId="60" xfId="0" applyNumberFormat="1" applyFont="1" applyFill="1" applyBorder="1" applyAlignment="1">
      <alignment horizontal="center"/>
    </xf>
    <xf numFmtId="171" fontId="4" fillId="41" borderId="53" xfId="0" applyNumberFormat="1" applyFont="1" applyFill="1" applyBorder="1" applyAlignment="1">
      <alignment horizontal="center"/>
    </xf>
    <xf numFmtId="0" fontId="40" fillId="41" borderId="25" xfId="0" applyFont="1" applyFill="1" applyBorder="1" applyAlignment="1">
      <alignment horizontal="center"/>
    </xf>
    <xf numFmtId="0" fontId="12" fillId="41" borderId="57" xfId="0" applyFont="1" applyFill="1" applyBorder="1" applyAlignment="1">
      <alignment horizontal="left"/>
    </xf>
    <xf numFmtId="0" fontId="10" fillId="41" borderId="73" xfId="0" applyFont="1" applyFill="1" applyBorder="1" applyAlignment="1">
      <alignment horizontal="center"/>
    </xf>
    <xf numFmtId="0" fontId="10" fillId="41" borderId="68" xfId="0" applyFont="1" applyFill="1" applyBorder="1" applyAlignment="1">
      <alignment horizontal="center"/>
    </xf>
    <xf numFmtId="0" fontId="10" fillId="41" borderId="74" xfId="0" applyFont="1" applyFill="1" applyBorder="1" applyAlignment="1">
      <alignment horizontal="center"/>
    </xf>
    <xf numFmtId="0" fontId="12" fillId="41" borderId="11" xfId="0" applyFont="1" applyFill="1" applyBorder="1" applyAlignment="1">
      <alignment horizontal="center"/>
    </xf>
    <xf numFmtId="0" fontId="12" fillId="41" borderId="57" xfId="0" applyFont="1" applyFill="1" applyBorder="1" applyAlignment="1">
      <alignment horizontal="center"/>
    </xf>
    <xf numFmtId="171" fontId="4" fillId="41" borderId="29" xfId="0" applyNumberFormat="1" applyFont="1" applyFill="1" applyBorder="1" applyAlignment="1">
      <alignment horizontal="center"/>
    </xf>
    <xf numFmtId="171" fontId="4" fillId="41" borderId="30" xfId="0" applyNumberFormat="1" applyFont="1" applyFill="1" applyBorder="1" applyAlignment="1">
      <alignment horizontal="center"/>
    </xf>
    <xf numFmtId="0" fontId="23" fillId="41" borderId="25" xfId="0" applyFont="1" applyFill="1" applyBorder="1" applyAlignment="1">
      <alignment horizontal="center"/>
    </xf>
    <xf numFmtId="0" fontId="9" fillId="41" borderId="18" xfId="0" applyFont="1" applyFill="1" applyBorder="1" applyAlignment="1">
      <alignment horizontal="center"/>
    </xf>
    <xf numFmtId="0" fontId="9" fillId="41" borderId="57" xfId="0" applyFont="1" applyFill="1" applyBorder="1" applyAlignment="1">
      <alignment horizontal="center"/>
    </xf>
    <xf numFmtId="0" fontId="41" fillId="41" borderId="12" xfId="0" applyFont="1" applyFill="1" applyBorder="1" applyAlignment="1">
      <alignment horizontal="center"/>
    </xf>
    <xf numFmtId="0" fontId="41" fillId="41" borderId="0" xfId="0" applyFont="1" applyFill="1" applyBorder="1" applyAlignment="1">
      <alignment horizontal="center"/>
    </xf>
    <xf numFmtId="0" fontId="41" fillId="41" borderId="39" xfId="0" applyFont="1" applyFill="1" applyBorder="1" applyAlignment="1">
      <alignment horizontal="center"/>
    </xf>
    <xf numFmtId="0" fontId="0" fillId="41" borderId="46" xfId="0" applyFont="1" applyFill="1" applyBorder="1" applyAlignment="1">
      <alignment horizontal="center"/>
    </xf>
    <xf numFmtId="0" fontId="0" fillId="41" borderId="25" xfId="0" applyFont="1" applyFill="1" applyBorder="1" applyAlignment="1">
      <alignment horizontal="center"/>
    </xf>
    <xf numFmtId="0" fontId="0" fillId="41" borderId="58" xfId="0" applyFont="1" applyFill="1" applyBorder="1" applyAlignment="1">
      <alignment horizontal="center"/>
    </xf>
    <xf numFmtId="0" fontId="12" fillId="41" borderId="46" xfId="0" applyFont="1" applyFill="1" applyBorder="1" applyAlignment="1">
      <alignment horizontal="center"/>
    </xf>
    <xf numFmtId="0" fontId="12" fillId="41" borderId="58" xfId="0" applyFont="1" applyFill="1" applyBorder="1" applyAlignment="1">
      <alignment horizontal="center"/>
    </xf>
    <xf numFmtId="0" fontId="34" fillId="41" borderId="12" xfId="0" applyFont="1" applyFill="1" applyBorder="1" applyAlignment="1">
      <alignment horizontal="center" vertical="center" wrapText="1"/>
    </xf>
    <xf numFmtId="0" fontId="34" fillId="41" borderId="0" xfId="0" applyFont="1" applyFill="1" applyBorder="1" applyAlignment="1">
      <alignment horizontal="center" vertical="center" wrapText="1"/>
    </xf>
    <xf numFmtId="0" fontId="34" fillId="41" borderId="39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8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71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77" xfId="0" applyFont="1" applyBorder="1" applyAlignment="1">
      <alignment horizontal="left"/>
    </xf>
    <xf numFmtId="0" fontId="12" fillId="0" borderId="7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9" xfId="0" applyFont="1" applyBorder="1" applyAlignment="1">
      <alignment horizontal="left"/>
    </xf>
    <xf numFmtId="0" fontId="10" fillId="0" borderId="8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6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" fillId="0" borderId="73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3" fillId="0" borderId="91" xfId="0" applyFont="1" applyBorder="1" applyAlignment="1">
      <alignment horizontal="left"/>
    </xf>
    <xf numFmtId="181" fontId="2" fillId="0" borderId="55" xfId="0" applyNumberFormat="1" applyFont="1" applyBorder="1" applyAlignment="1">
      <alignment horizontal="center"/>
    </xf>
    <xf numFmtId="181" fontId="2" fillId="0" borderId="74" xfId="0" applyNumberFormat="1" applyFont="1" applyBorder="1" applyAlignment="1">
      <alignment horizontal="center"/>
    </xf>
    <xf numFmtId="181" fontId="23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0" fillId="0" borderId="5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" fillId="0" borderId="92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1" fontId="21" fillId="0" borderId="14" xfId="0" applyNumberFormat="1" applyFont="1" applyBorder="1" applyAlignment="1">
      <alignment horizontal="center"/>
    </xf>
    <xf numFmtId="49" fontId="4" fillId="0" borderId="70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left"/>
    </xf>
    <xf numFmtId="186" fontId="2" fillId="0" borderId="70" xfId="0" applyNumberFormat="1" applyFont="1" applyBorder="1" applyAlignment="1">
      <alignment horizontal="center"/>
    </xf>
    <xf numFmtId="186" fontId="9" fillId="0" borderId="53" xfId="0" applyNumberFormat="1" applyFont="1" applyBorder="1" applyAlignment="1">
      <alignment/>
    </xf>
    <xf numFmtId="10" fontId="2" fillId="0" borderId="50" xfId="59" applyNumberFormat="1" applyFont="1" applyBorder="1" applyAlignment="1">
      <alignment horizontal="center"/>
    </xf>
    <xf numFmtId="10" fontId="0" fillId="0" borderId="65" xfId="59" applyNumberFormat="1" applyFont="1" applyBorder="1" applyAlignment="1">
      <alignment horizontal="center"/>
    </xf>
    <xf numFmtId="186" fontId="2" fillId="0" borderId="68" xfId="0" applyNumberFormat="1" applyFont="1" applyBorder="1" applyAlignment="1">
      <alignment horizontal="center"/>
    </xf>
    <xf numFmtId="186" fontId="2" fillId="0" borderId="74" xfId="0" applyNumberFormat="1" applyFont="1" applyBorder="1" applyAlignment="1">
      <alignment horizontal="center"/>
    </xf>
    <xf numFmtId="186" fontId="2" fillId="0" borderId="63" xfId="0" applyNumberFormat="1" applyFont="1" applyBorder="1" applyAlignment="1">
      <alignment horizontal="center"/>
    </xf>
    <xf numFmtId="186" fontId="0" fillId="0" borderId="89" xfId="0" applyNumberFormat="1" applyBorder="1" applyAlignment="1">
      <alignment/>
    </xf>
    <xf numFmtId="10" fontId="2" fillId="0" borderId="37" xfId="59" applyNumberFormat="1" applyFont="1" applyBorder="1" applyAlignment="1">
      <alignment horizontal="center"/>
    </xf>
    <xf numFmtId="10" fontId="9" fillId="0" borderId="31" xfId="59" applyNumberFormat="1" applyFont="1" applyBorder="1" applyAlignment="1">
      <alignment horizontal="center"/>
    </xf>
    <xf numFmtId="10" fontId="2" fillId="0" borderId="63" xfId="59" applyNumberFormat="1" applyFont="1" applyBorder="1" applyAlignment="1">
      <alignment horizontal="center"/>
    </xf>
    <xf numFmtId="10" fontId="9" fillId="0" borderId="89" xfId="59" applyNumberFormat="1" applyFont="1" applyBorder="1" applyAlignment="1">
      <alignment horizontal="center"/>
    </xf>
    <xf numFmtId="186" fontId="4" fillId="0" borderId="37" xfId="0" applyNumberFormat="1" applyFont="1" applyBorder="1" applyAlignment="1">
      <alignment horizontal="center"/>
    </xf>
    <xf numFmtId="186" fontId="0" fillId="0" borderId="31" xfId="0" applyNumberFormat="1" applyBorder="1" applyAlignment="1">
      <alignment/>
    </xf>
    <xf numFmtId="49" fontId="4" fillId="0" borderId="24" xfId="0" applyNumberFormat="1" applyFont="1" applyBorder="1" applyAlignment="1">
      <alignment horizontal="left"/>
    </xf>
    <xf numFmtId="49" fontId="4" fillId="0" borderId="52" xfId="0" applyNumberFormat="1" applyFont="1" applyBorder="1" applyAlignment="1">
      <alignment horizontal="left"/>
    </xf>
    <xf numFmtId="10" fontId="4" fillId="0" borderId="24" xfId="59" applyNumberFormat="1" applyFont="1" applyBorder="1" applyAlignment="1">
      <alignment horizontal="center"/>
    </xf>
    <xf numFmtId="10" fontId="0" fillId="0" borderId="28" xfId="59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left"/>
    </xf>
    <xf numFmtId="49" fontId="4" fillId="0" borderId="51" xfId="0" applyNumberFormat="1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0" fillId="41" borderId="37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41" borderId="37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9" fillId="41" borderId="75" xfId="0" applyFont="1" applyFill="1" applyBorder="1" applyAlignment="1">
      <alignment horizontal="left"/>
    </xf>
    <xf numFmtId="0" fontId="0" fillId="33" borderId="51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41" borderId="10" xfId="0" applyFont="1" applyFill="1" applyBorder="1" applyAlignment="1">
      <alignment horizontal="center" vertical="center" textRotation="90"/>
    </xf>
    <xf numFmtId="0" fontId="9" fillId="33" borderId="0" xfId="0" applyFont="1" applyFill="1" applyBorder="1" applyAlignment="1">
      <alignment horizontal="left"/>
    </xf>
    <xf numFmtId="0" fontId="9" fillId="41" borderId="0" xfId="0" applyFont="1" applyFill="1" applyBorder="1" applyAlignment="1">
      <alignment horizontal="left"/>
    </xf>
    <xf numFmtId="0" fontId="0" fillId="41" borderId="10" xfId="0" applyFill="1" applyBorder="1" applyAlignment="1">
      <alignment horizontal="center" vertical="center" textRotation="90"/>
    </xf>
    <xf numFmtId="0" fontId="9" fillId="33" borderId="0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41" borderId="17" xfId="0" applyFont="1" applyFill="1" applyBorder="1" applyAlignment="1">
      <alignment horizontal="center"/>
    </xf>
    <xf numFmtId="0" fontId="9" fillId="41" borderId="37" xfId="0" applyFont="1" applyFill="1" applyBorder="1" applyAlignment="1">
      <alignment horizontal="center"/>
    </xf>
    <xf numFmtId="0" fontId="9" fillId="41" borderId="10" xfId="0" applyFont="1" applyFill="1" applyBorder="1" applyAlignment="1">
      <alignment horizontal="center"/>
    </xf>
    <xf numFmtId="0" fontId="9" fillId="41" borderId="31" xfId="0" applyFont="1" applyFill="1" applyBorder="1" applyAlignment="1">
      <alignment horizontal="center"/>
    </xf>
    <xf numFmtId="0" fontId="0" fillId="41" borderId="31" xfId="0" applyFill="1" applyBorder="1" applyAlignment="1">
      <alignment horizontal="center"/>
    </xf>
    <xf numFmtId="0" fontId="0" fillId="41" borderId="64" xfId="0" applyFont="1" applyFill="1" applyBorder="1" applyAlignment="1">
      <alignment horizontal="center"/>
    </xf>
    <xf numFmtId="0" fontId="0" fillId="41" borderId="49" xfId="0" applyFont="1" applyFill="1" applyBorder="1" applyAlignment="1">
      <alignment horizontal="center"/>
    </xf>
    <xf numFmtId="0" fontId="0" fillId="41" borderId="48" xfId="0" applyFont="1" applyFill="1" applyBorder="1" applyAlignment="1">
      <alignment horizontal="center"/>
    </xf>
    <xf numFmtId="0" fontId="0" fillId="41" borderId="51" xfId="0" applyFill="1" applyBorder="1" applyAlignment="1">
      <alignment horizontal="center"/>
    </xf>
    <xf numFmtId="0" fontId="0" fillId="41" borderId="61" xfId="0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0" fontId="0" fillId="41" borderId="27" xfId="0" applyFill="1" applyBorder="1" applyAlignment="1">
      <alignment horizontal="center"/>
    </xf>
    <xf numFmtId="0" fontId="0" fillId="41" borderId="28" xfId="0" applyFill="1" applyBorder="1" applyAlignment="1">
      <alignment horizontal="center"/>
    </xf>
    <xf numFmtId="0" fontId="0" fillId="41" borderId="37" xfId="52" applyFill="1" applyBorder="1" applyAlignment="1">
      <alignment horizontal="center"/>
      <protection/>
    </xf>
    <xf numFmtId="0" fontId="0" fillId="41" borderId="10" xfId="52" applyFill="1" applyBorder="1" applyAlignment="1">
      <alignment horizontal="center"/>
      <protection/>
    </xf>
    <xf numFmtId="0" fontId="0" fillId="41" borderId="31" xfId="52" applyFill="1" applyBorder="1" applyAlignment="1">
      <alignment horizontal="center"/>
      <protection/>
    </xf>
    <xf numFmtId="0" fontId="0" fillId="41" borderId="24" xfId="52" applyFill="1" applyBorder="1" applyAlignment="1">
      <alignment horizontal="center"/>
      <protection/>
    </xf>
    <xf numFmtId="0" fontId="0" fillId="41" borderId="27" xfId="52" applyFill="1" applyBorder="1" applyAlignment="1">
      <alignment horizontal="center"/>
      <protection/>
    </xf>
    <xf numFmtId="0" fontId="0" fillId="33" borderId="28" xfId="52" applyFill="1" applyBorder="1" applyAlignment="1">
      <alignment horizontal="center"/>
      <protection/>
    </xf>
    <xf numFmtId="0" fontId="9" fillId="33" borderId="13" xfId="52" applyFont="1" applyFill="1" applyBorder="1" applyAlignment="1">
      <alignment horizontal="center" vertical="center"/>
      <protection/>
    </xf>
    <xf numFmtId="0" fontId="9" fillId="33" borderId="75" xfId="52" applyFont="1" applyFill="1" applyBorder="1" applyAlignment="1">
      <alignment horizontal="center" vertical="center"/>
      <protection/>
    </xf>
    <xf numFmtId="0" fontId="0" fillId="33" borderId="70" xfId="52" applyFill="1" applyBorder="1" applyAlignment="1">
      <alignment horizontal="center"/>
      <protection/>
    </xf>
    <xf numFmtId="0" fontId="0" fillId="33" borderId="60" xfId="52" applyFill="1" applyBorder="1" applyAlignment="1">
      <alignment horizontal="center"/>
      <protection/>
    </xf>
    <xf numFmtId="0" fontId="9" fillId="33" borderId="13" xfId="52" applyFont="1" applyFill="1" applyBorder="1" applyAlignment="1">
      <alignment horizontal="center"/>
      <protection/>
    </xf>
    <xf numFmtId="0" fontId="9" fillId="41" borderId="75" xfId="52" applyFont="1" applyFill="1" applyBorder="1" applyAlignment="1">
      <alignment horizontal="center"/>
      <protection/>
    </xf>
    <xf numFmtId="0" fontId="9" fillId="41" borderId="17" xfId="52" applyFont="1" applyFill="1" applyBorder="1" applyAlignment="1">
      <alignment horizontal="center"/>
      <protection/>
    </xf>
    <xf numFmtId="0" fontId="9" fillId="41" borderId="57" xfId="52" applyFont="1" applyFill="1" applyBorder="1" applyAlignment="1">
      <alignment horizontal="center"/>
      <protection/>
    </xf>
    <xf numFmtId="0" fontId="9" fillId="41" borderId="37" xfId="52" applyFont="1" applyFill="1" applyBorder="1" applyAlignment="1">
      <alignment horizontal="center"/>
      <protection/>
    </xf>
    <xf numFmtId="0" fontId="9" fillId="41" borderId="10" xfId="52" applyFont="1" applyFill="1" applyBorder="1" applyAlignment="1">
      <alignment horizontal="center"/>
      <protection/>
    </xf>
    <xf numFmtId="0" fontId="9" fillId="33" borderId="31" xfId="52" applyFont="1" applyFill="1" applyBorder="1" applyAlignment="1">
      <alignment horizontal="center"/>
      <protection/>
    </xf>
    <xf numFmtId="0" fontId="0" fillId="41" borderId="37" xfId="52" applyFont="1" applyFill="1" applyBorder="1" applyAlignment="1">
      <alignment horizontal="center"/>
      <protection/>
    </xf>
    <xf numFmtId="0" fontId="0" fillId="41" borderId="10" xfId="52" applyFont="1" applyFill="1" applyBorder="1" applyAlignment="1">
      <alignment horizontal="center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39" xfId="52" applyFont="1" applyBorder="1" applyAlignment="1">
      <alignment horizontal="center"/>
      <protection/>
    </xf>
    <xf numFmtId="0" fontId="12" fillId="0" borderId="46" xfId="52" applyFont="1" applyBorder="1" applyAlignment="1">
      <alignment horizontal="center"/>
      <protection/>
    </xf>
    <xf numFmtId="0" fontId="12" fillId="0" borderId="25" xfId="52" applyFont="1" applyBorder="1" applyAlignment="1">
      <alignment horizontal="center"/>
      <protection/>
    </xf>
    <xf numFmtId="0" fontId="12" fillId="0" borderId="58" xfId="52" applyFont="1" applyBorder="1" applyAlignment="1">
      <alignment horizontal="center"/>
      <protection/>
    </xf>
    <xf numFmtId="0" fontId="25" fillId="0" borderId="11" xfId="54" applyFont="1" applyBorder="1" applyAlignment="1">
      <alignment horizontal="center"/>
      <protection/>
    </xf>
    <xf numFmtId="0" fontId="25" fillId="0" borderId="17" xfId="54" applyFont="1" applyBorder="1" applyAlignment="1">
      <alignment horizontal="center"/>
      <protection/>
    </xf>
    <xf numFmtId="0" fontId="25" fillId="0" borderId="57" xfId="54" applyFont="1" applyBorder="1" applyAlignment="1">
      <alignment horizontal="center"/>
      <protection/>
    </xf>
    <xf numFmtId="0" fontId="35" fillId="0" borderId="12" xfId="54" applyFont="1" applyBorder="1" applyAlignment="1">
      <alignment horizontal="center"/>
      <protection/>
    </xf>
    <xf numFmtId="0" fontId="35" fillId="0" borderId="0" xfId="54" applyFont="1" applyBorder="1" applyAlignment="1">
      <alignment horizontal="center"/>
      <protection/>
    </xf>
    <xf numFmtId="0" fontId="35" fillId="0" borderId="39" xfId="54" applyFont="1" applyBorder="1" applyAlignment="1">
      <alignment horizontal="center"/>
      <protection/>
    </xf>
    <xf numFmtId="0" fontId="0" fillId="0" borderId="12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39" xfId="54" applyBorder="1" applyAlignment="1">
      <alignment horizontal="center"/>
      <protection/>
    </xf>
    <xf numFmtId="49" fontId="22" fillId="0" borderId="0" xfId="55" applyNumberFormat="1" applyFont="1" applyFill="1" applyAlignment="1">
      <alignment horizontal="center"/>
      <protection/>
    </xf>
    <xf numFmtId="0" fontId="32" fillId="0" borderId="25" xfId="55" applyNumberFormat="1" applyFont="1" applyFill="1" applyBorder="1" applyAlignment="1">
      <alignment horizontal="center"/>
      <protection/>
    </xf>
    <xf numFmtId="0" fontId="9" fillId="0" borderId="11" xfId="55" applyNumberFormat="1" applyFont="1" applyFill="1" applyBorder="1" applyAlignment="1">
      <alignment horizontal="left"/>
      <protection/>
    </xf>
    <xf numFmtId="0" fontId="9" fillId="0" borderId="17" xfId="55" applyNumberFormat="1" applyFont="1" applyFill="1" applyBorder="1" applyAlignment="1">
      <alignment horizontal="left"/>
      <protection/>
    </xf>
    <xf numFmtId="0" fontId="9" fillId="0" borderId="57" xfId="55" applyNumberFormat="1" applyFont="1" applyFill="1" applyBorder="1" applyAlignment="1">
      <alignment horizontal="left"/>
      <protection/>
    </xf>
    <xf numFmtId="0" fontId="9" fillId="0" borderId="13" xfId="55" applyNumberFormat="1" applyFont="1" applyFill="1" applyBorder="1" applyAlignment="1">
      <alignment horizontal="left"/>
      <protection/>
    </xf>
    <xf numFmtId="0" fontId="9" fillId="0" borderId="14" xfId="55" applyNumberFormat="1" applyFont="1" applyFill="1" applyBorder="1" applyAlignment="1">
      <alignment horizontal="left"/>
      <protection/>
    </xf>
    <xf numFmtId="0" fontId="9" fillId="0" borderId="75" xfId="55" applyNumberFormat="1" applyFont="1" applyFill="1" applyBorder="1" applyAlignment="1">
      <alignment horizontal="left"/>
      <protection/>
    </xf>
    <xf numFmtId="49" fontId="34" fillId="0" borderId="0" xfId="54" applyNumberFormat="1" applyFont="1" applyBorder="1" applyAlignment="1">
      <alignment horizontal="center"/>
      <protection/>
    </xf>
    <xf numFmtId="0" fontId="10" fillId="0" borderId="13" xfId="54" applyFont="1" applyBorder="1" applyAlignment="1">
      <alignment horizontal="left"/>
      <protection/>
    </xf>
    <xf numFmtId="0" fontId="10" fillId="0" borderId="20" xfId="54" applyFont="1" applyBorder="1" applyAlignment="1">
      <alignment horizontal="left"/>
      <protection/>
    </xf>
    <xf numFmtId="0" fontId="4" fillId="0" borderId="0" xfId="52" applyFont="1" applyFill="1" applyBorder="1" applyAlignment="1">
      <alignment horizontal="left"/>
      <protection/>
    </xf>
    <xf numFmtId="0" fontId="10" fillId="0" borderId="13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10" fillId="0" borderId="75" xfId="52" applyFont="1" applyBorder="1" applyAlignment="1">
      <alignment horizontal="center" vertical="top" wrapText="1"/>
      <protection/>
    </xf>
    <xf numFmtId="0" fontId="4" fillId="37" borderId="51" xfId="52" applyFont="1" applyFill="1" applyBorder="1" applyAlignment="1">
      <alignment horizontal="left"/>
      <protection/>
    </xf>
    <xf numFmtId="0" fontId="4" fillId="37" borderId="63" xfId="52" applyFont="1" applyFill="1" applyBorder="1" applyAlignment="1">
      <alignment horizontal="left"/>
      <protection/>
    </xf>
    <xf numFmtId="0" fontId="4" fillId="37" borderId="61" xfId="52" applyFont="1" applyFill="1" applyBorder="1" applyAlignment="1">
      <alignment horizontal="left"/>
      <protection/>
    </xf>
    <xf numFmtId="0" fontId="11" fillId="48" borderId="68" xfId="52" applyFont="1" applyFill="1" applyBorder="1" applyAlignment="1">
      <alignment horizontal="center"/>
      <protection/>
    </xf>
    <xf numFmtId="0" fontId="11" fillId="48" borderId="0" xfId="52" applyFont="1" applyFill="1" applyBorder="1" applyAlignment="1">
      <alignment horizontal="center"/>
      <protection/>
    </xf>
    <xf numFmtId="0" fontId="12" fillId="36" borderId="93" xfId="52" applyFont="1" applyFill="1" applyBorder="1" applyAlignment="1">
      <alignment horizontal="center"/>
      <protection/>
    </xf>
    <xf numFmtId="0" fontId="12" fillId="36" borderId="85" xfId="52" applyFont="1" applyFill="1" applyBorder="1" applyAlignment="1">
      <alignment horizontal="center"/>
      <protection/>
    </xf>
    <xf numFmtId="0" fontId="4" fillId="36" borderId="51" xfId="52" applyFont="1" applyFill="1" applyBorder="1" applyAlignment="1">
      <alignment horizontal="center"/>
      <protection/>
    </xf>
    <xf numFmtId="0" fontId="4" fillId="36" borderId="63" xfId="52" applyFont="1" applyFill="1" applyBorder="1" applyAlignment="1">
      <alignment horizontal="center"/>
      <protection/>
    </xf>
    <xf numFmtId="0" fontId="4" fillId="36" borderId="61" xfId="52" applyFont="1" applyFill="1" applyBorder="1" applyAlignment="1">
      <alignment horizontal="center"/>
      <protection/>
    </xf>
    <xf numFmtId="0" fontId="4" fillId="0" borderId="0" xfId="52" applyFont="1" applyAlignment="1">
      <alignment horizontal="left" wrapText="1"/>
      <protection/>
    </xf>
    <xf numFmtId="0" fontId="10" fillId="0" borderId="13" xfId="0" applyFont="1" applyBorder="1" applyAlignment="1">
      <alignment horizontal="center"/>
    </xf>
    <xf numFmtId="10" fontId="10" fillId="0" borderId="75" xfId="0" applyNumberFormat="1" applyFont="1" applyBorder="1" applyAlignment="1">
      <alignment horizontal="center"/>
    </xf>
    <xf numFmtId="0" fontId="10" fillId="0" borderId="65" xfId="0" applyFont="1" applyBorder="1" applyAlignment="1">
      <alignment/>
    </xf>
    <xf numFmtId="10" fontId="10" fillId="0" borderId="92" xfId="0" applyNumberFormat="1" applyFont="1" applyBorder="1" applyAlignment="1">
      <alignment horizontal="center"/>
    </xf>
    <xf numFmtId="0" fontId="0" fillId="34" borderId="80" xfId="0" applyFill="1" applyBorder="1" applyAlignment="1">
      <alignment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Neutra" xfId="51"/>
    <cellStyle name="Normal 2" xfId="52"/>
    <cellStyle name="Normal_1.planilha de escavação e reaterro" xfId="53"/>
    <cellStyle name="Normal_Ampliação PS- 100,00m2 - VERSÃO 03 2" xfId="54"/>
    <cellStyle name="Normal_Orç PS V2 -  BDI - 2" xfId="55"/>
    <cellStyle name="Normal_Plan1" xfId="56"/>
    <cellStyle name="Normal_planilha de escavação e reaterro" xfId="57"/>
    <cellStyle name="Nota" xfId="58"/>
    <cellStyle name="Percent" xfId="59"/>
    <cellStyle name="Porcentagem 2" xfId="60"/>
    <cellStyle name="Porcentagem 2 2" xfId="61"/>
    <cellStyle name="Porcentagem 2 3" xfId="62"/>
    <cellStyle name="Porcentagem 3" xfId="63"/>
    <cellStyle name="Saída" xfId="64"/>
    <cellStyle name="Comma" xfId="65"/>
    <cellStyle name="Comma [0]" xfId="66"/>
    <cellStyle name="Separador de milhares 2" xfId="67"/>
    <cellStyle name="Separador de milhares 2 2" xfId="68"/>
    <cellStyle name="Separador de milhares 3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</cellStyles>
  <dxfs count="12">
    <dxf>
      <font>
        <color indexed="13"/>
      </font>
      <fill>
        <patternFill>
          <bgColor indexed="10"/>
        </patternFill>
      </fill>
    </dxf>
    <dxf>
      <fill>
        <patternFill>
          <bgColor indexed="15"/>
        </patternFill>
      </fill>
    </dxf>
    <dxf>
      <font>
        <b/>
        <i val="0"/>
        <color auto="1"/>
      </font>
      <fill>
        <patternFill>
          <bgColor indexed="45"/>
        </patternFill>
      </fill>
    </dxf>
    <dxf>
      <fill>
        <patternFill>
          <bgColor indexed="15"/>
        </patternFill>
      </fill>
    </dxf>
    <dxf>
      <font>
        <b/>
        <i val="0"/>
        <color indexed="51"/>
      </font>
      <fill>
        <patternFill>
          <bgColor indexed="10"/>
        </patternFill>
      </fill>
    </dxf>
    <dxf>
      <font>
        <b/>
        <i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3.wmf" /><Relationship Id="rId7" Type="http://schemas.openxmlformats.org/officeDocument/2006/relationships/image" Target="../media/image1.wmf" /><Relationship Id="rId8" Type="http://schemas.openxmlformats.org/officeDocument/2006/relationships/image" Target="../media/image2.wmf" /><Relationship Id="rId9" Type="http://schemas.openxmlformats.org/officeDocument/2006/relationships/image" Target="../media/image3.wmf" /><Relationship Id="rId10" Type="http://schemas.openxmlformats.org/officeDocument/2006/relationships/image" Target="../media/image1.wmf" /><Relationship Id="rId11" Type="http://schemas.openxmlformats.org/officeDocument/2006/relationships/image" Target="../media/image2.wmf" /><Relationship Id="rId12" Type="http://schemas.openxmlformats.org/officeDocument/2006/relationships/image" Target="../media/image3.wmf" /><Relationship Id="rId13" Type="http://schemas.openxmlformats.org/officeDocument/2006/relationships/image" Target="../media/image1.wmf" /><Relationship Id="rId14" Type="http://schemas.openxmlformats.org/officeDocument/2006/relationships/image" Target="../media/image2.wmf" /><Relationship Id="rId15" Type="http://schemas.openxmlformats.org/officeDocument/2006/relationships/image" Target="../media/image3.wmf" /><Relationship Id="rId16" Type="http://schemas.openxmlformats.org/officeDocument/2006/relationships/image" Target="../media/image1.wmf" /><Relationship Id="rId17" Type="http://schemas.openxmlformats.org/officeDocument/2006/relationships/image" Target="../media/image2.wmf" /><Relationship Id="rId18" Type="http://schemas.openxmlformats.org/officeDocument/2006/relationships/image" Target="../media/image3.wmf" /><Relationship Id="rId19" Type="http://schemas.openxmlformats.org/officeDocument/2006/relationships/image" Target="../media/image1.wmf" /><Relationship Id="rId20" Type="http://schemas.openxmlformats.org/officeDocument/2006/relationships/image" Target="../media/image2.wmf" /><Relationship Id="rId21" Type="http://schemas.openxmlformats.org/officeDocument/2006/relationships/image" Target="../media/image3.wmf" /><Relationship Id="rId22" Type="http://schemas.openxmlformats.org/officeDocument/2006/relationships/image" Target="../media/image1.wmf" /><Relationship Id="rId23" Type="http://schemas.openxmlformats.org/officeDocument/2006/relationships/image" Target="../media/image2.wmf" /><Relationship Id="rId24" Type="http://schemas.openxmlformats.org/officeDocument/2006/relationships/image" Target="../media/image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1.wmf" /><Relationship Id="rId29" Type="http://schemas.openxmlformats.org/officeDocument/2006/relationships/image" Target="../media/image2.wmf" /><Relationship Id="rId30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171450</xdr:rowOff>
    </xdr:from>
    <xdr:to>
      <xdr:col>9</xdr:col>
      <xdr:colOff>304800</xdr:colOff>
      <xdr:row>26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61925" y="4886325"/>
          <a:ext cx="6800850" cy="561975"/>
          <a:chOff x="216" y="397"/>
          <a:chExt cx="547" cy="6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476250</xdr:colOff>
      <xdr:row>38</xdr:row>
      <xdr:rowOff>85725</xdr:rowOff>
    </xdr:from>
    <xdr:to>
      <xdr:col>9</xdr:col>
      <xdr:colOff>447675</xdr:colOff>
      <xdr:row>41</xdr:row>
      <xdr:rowOff>28575</xdr:rowOff>
    </xdr:to>
    <xdr:grpSp>
      <xdr:nvGrpSpPr>
        <xdr:cNvPr id="33" name="Group 33"/>
        <xdr:cNvGrpSpPr>
          <a:grpSpLocks/>
        </xdr:cNvGrpSpPr>
      </xdr:nvGrpSpPr>
      <xdr:grpSpPr>
        <a:xfrm>
          <a:off x="476250" y="7572375"/>
          <a:ext cx="6629400" cy="428625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495300</xdr:colOff>
      <xdr:row>34</xdr:row>
      <xdr:rowOff>85725</xdr:rowOff>
    </xdr:from>
    <xdr:to>
      <xdr:col>8</xdr:col>
      <xdr:colOff>447675</xdr:colOff>
      <xdr:row>37</xdr:row>
      <xdr:rowOff>19050</xdr:rowOff>
    </xdr:to>
    <xdr:grpSp>
      <xdr:nvGrpSpPr>
        <xdr:cNvPr id="37" name="Group 37"/>
        <xdr:cNvGrpSpPr>
          <a:grpSpLocks/>
        </xdr:cNvGrpSpPr>
      </xdr:nvGrpSpPr>
      <xdr:grpSpPr>
        <a:xfrm>
          <a:off x="495300" y="6896100"/>
          <a:ext cx="5715000" cy="447675"/>
          <a:chOff x="216" y="398"/>
          <a:chExt cx="548" cy="51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82</xdr:row>
      <xdr:rowOff>0</xdr:rowOff>
    </xdr:from>
    <xdr:to>
      <xdr:col>16</xdr:col>
      <xdr:colOff>38100</xdr:colOff>
      <xdr:row>83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068800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85</xdr:row>
      <xdr:rowOff>161925</xdr:rowOff>
    </xdr:from>
    <xdr:to>
      <xdr:col>18</xdr:col>
      <xdr:colOff>561975</xdr:colOff>
      <xdr:row>87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716500"/>
          <a:ext cx="4314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87</xdr:row>
      <xdr:rowOff>95250</xdr:rowOff>
    </xdr:from>
    <xdr:to>
      <xdr:col>18</xdr:col>
      <xdr:colOff>523875</xdr:colOff>
      <xdr:row>89</xdr:row>
      <xdr:rowOff>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973675"/>
          <a:ext cx="427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89</xdr:row>
      <xdr:rowOff>152400</xdr:rowOff>
    </xdr:from>
    <xdr:to>
      <xdr:col>18</xdr:col>
      <xdr:colOff>295275</xdr:colOff>
      <xdr:row>91</xdr:row>
      <xdr:rowOff>66675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8354675"/>
          <a:ext cx="404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82</xdr:row>
      <xdr:rowOff>0</xdr:rowOff>
    </xdr:from>
    <xdr:to>
      <xdr:col>21</xdr:col>
      <xdr:colOff>447675</xdr:colOff>
      <xdr:row>83</xdr:row>
      <xdr:rowOff>28575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44675" y="17068800"/>
          <a:ext cx="1047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84</xdr:row>
      <xdr:rowOff>0</xdr:rowOff>
    </xdr:from>
    <xdr:to>
      <xdr:col>20</xdr:col>
      <xdr:colOff>609600</xdr:colOff>
      <xdr:row>85</xdr:row>
      <xdr:rowOff>9525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44675" y="1739265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85</xdr:row>
      <xdr:rowOff>161925</xdr:rowOff>
    </xdr:from>
    <xdr:to>
      <xdr:col>21</xdr:col>
      <xdr:colOff>57150</xdr:colOff>
      <xdr:row>88</xdr:row>
      <xdr:rowOff>85725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44675" y="1771650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89</xdr:row>
      <xdr:rowOff>38100</xdr:rowOff>
    </xdr:from>
    <xdr:to>
      <xdr:col>21</xdr:col>
      <xdr:colOff>419100</xdr:colOff>
      <xdr:row>90</xdr:row>
      <xdr:rowOff>123825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44675" y="18240375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4657725</xdr:colOff>
      <xdr:row>25</xdr:row>
      <xdr:rowOff>104775</xdr:rowOff>
    </xdr:from>
    <xdr:to>
      <xdr:col>8</xdr:col>
      <xdr:colOff>209550</xdr:colOff>
      <xdr:row>28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5410200"/>
          <a:ext cx="5419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9</xdr:row>
      <xdr:rowOff>180975</xdr:rowOff>
    </xdr:from>
    <xdr:to>
      <xdr:col>7</xdr:col>
      <xdr:colOff>390525</xdr:colOff>
      <xdr:row>14</xdr:row>
      <xdr:rowOff>47625</xdr:rowOff>
    </xdr:to>
    <xdr:sp>
      <xdr:nvSpPr>
        <xdr:cNvPr id="2" name="AutoShape 5"/>
        <xdr:cNvSpPr>
          <a:spLocks/>
        </xdr:cNvSpPr>
      </xdr:nvSpPr>
      <xdr:spPr>
        <a:xfrm rot="10800000">
          <a:off x="9677400" y="2486025"/>
          <a:ext cx="361950" cy="7429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S%202013\BOMBINHAS\PROJETOS%20EM%20ANDAMENTO\2013-08-08%20-%20Ilha%20de%20Maraj&#243;\1.%20OR&#199;AMENTO%20-%20RUA%20ILHA%20BELA%20DE%20MARAJ&#2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S%202013\BOMBINHAS\PROJETOS%20EM%20ANDAMENTO\2013-10-18%20-%20FUNDAM\2.%20RUA%20ARIRANHA\2.%20RUA%20ARIRANH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S%202014\ITAPEMA\2014.04.03%20FINAL%20DAS%20RUAS%20708%20E%20816\3.%20OR&#199;AMENTO%20TOTAL%20-%20RUAS%20708%20E%208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de entrada"/>
      <sheetName val="Drenagem"/>
      <sheetName val="Escavação"/>
      <sheetName val="MEMORIAL"/>
      <sheetName val="ORÇ"/>
      <sheetName val="CROFF"/>
      <sheetName val="PV Ø40 e Ø 60"/>
      <sheetName val="CL Ø40 e Ø 60"/>
      <sheetName val="PAVER"/>
      <sheetName val="TATIL"/>
      <sheetName val="BDI "/>
      <sheetName val="PV Ø80"/>
      <sheetName val="CL Ø80"/>
    </sheetNames>
    <sheetDataSet>
      <sheetData sheetId="0">
        <row r="15">
          <cell r="B15" t="str">
            <v>PREFEITURA MUNICIPAL DE BOMBINHAS</v>
          </cell>
        </row>
        <row r="17">
          <cell r="B17" t="str">
            <v>Engenheiro Civil - CREA SC 8.333-3</v>
          </cell>
        </row>
        <row r="24">
          <cell r="C24" t="str">
            <v>Carlos Alberto Bley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PAVER"/>
      <sheetName val="TATIL"/>
      <sheetName val="BDI "/>
    </sheetNames>
    <sheetDataSet>
      <sheetData sheetId="1">
        <row r="6">
          <cell r="B6" t="str">
            <v>Carlos Alberto Bley</v>
          </cell>
        </row>
        <row r="17">
          <cell r="B17" t="str">
            <v>Engenheiro Civil - CREA SC 008.333-3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-FUNDAM"/>
      <sheetName val="CRONOGRAMA-FUNDAM"/>
      <sheetName val="PV Ø40-60"/>
      <sheetName val="CL Ø40-60"/>
      <sheetName val="PV Ø80-simples"/>
      <sheetName val="CL Ø80-simples"/>
      <sheetName val="PV Ø100"/>
      <sheetName val="CL Ø100"/>
      <sheetName val="Boca de lobo"/>
      <sheetName val="PAVER"/>
      <sheetName val="TATIL"/>
      <sheetName val="BDI "/>
      <sheetName val="ORÇ"/>
      <sheetName val="CROFF"/>
      <sheetName val="B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oleObject" Target="../embeddings/oleObject_2_23.bin" /><Relationship Id="rId25" Type="http://schemas.openxmlformats.org/officeDocument/2006/relationships/oleObject" Target="../embeddings/oleObject_2_24.bin" /><Relationship Id="rId26" Type="http://schemas.openxmlformats.org/officeDocument/2006/relationships/oleObject" Target="../embeddings/oleObject_2_25.bin" /><Relationship Id="rId27" Type="http://schemas.openxmlformats.org/officeDocument/2006/relationships/oleObject" Target="../embeddings/oleObject_2_26.bin" /><Relationship Id="rId28" Type="http://schemas.openxmlformats.org/officeDocument/2006/relationships/oleObject" Target="../embeddings/oleObject_2_27.bin" /><Relationship Id="rId29" Type="http://schemas.openxmlformats.org/officeDocument/2006/relationships/oleObject" Target="../embeddings/oleObject_2_28.bin" /><Relationship Id="rId30" Type="http://schemas.openxmlformats.org/officeDocument/2006/relationships/oleObject" Target="../embeddings/oleObject_2_29.bin" /><Relationship Id="rId31" Type="http://schemas.openxmlformats.org/officeDocument/2006/relationships/vmlDrawing" Target="../drawings/vmlDrawing1.vm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3">
      <selection activeCell="A40" sqref="A40"/>
    </sheetView>
  </sheetViews>
  <sheetFormatPr defaultColWidth="9.140625" defaultRowHeight="12.75"/>
  <cols>
    <col min="1" max="1" width="19.8515625" style="4" customWidth="1"/>
    <col min="2" max="2" width="131.28125" style="0" bestFit="1" customWidth="1"/>
    <col min="3" max="3" width="9.140625" style="4" customWidth="1"/>
    <col min="4" max="4" width="13.7109375" style="206" bestFit="1" customWidth="1"/>
  </cols>
  <sheetData>
    <row r="1" ht="12.75">
      <c r="B1" s="847" t="s">
        <v>461</v>
      </c>
    </row>
    <row r="2" spans="1:4" ht="13.5" thickBot="1">
      <c r="A2" s="4" t="s">
        <v>318</v>
      </c>
      <c r="B2" s="848"/>
      <c r="C2" s="4" t="s">
        <v>319</v>
      </c>
      <c r="D2" s="206" t="s">
        <v>30</v>
      </c>
    </row>
    <row r="3" spans="1:5" ht="12.75" customHeight="1">
      <c r="A3" s="233" t="s">
        <v>148</v>
      </c>
      <c r="B3" s="135" t="s">
        <v>320</v>
      </c>
      <c r="C3" s="5" t="s">
        <v>321</v>
      </c>
      <c r="D3" s="300">
        <v>224.95</v>
      </c>
      <c r="E3" s="48" t="s">
        <v>161</v>
      </c>
    </row>
    <row r="4" spans="1:5" ht="13.5" customHeight="1">
      <c r="A4" s="233">
        <v>73616</v>
      </c>
      <c r="B4" s="207" t="s">
        <v>425</v>
      </c>
      <c r="C4" s="5" t="s">
        <v>322</v>
      </c>
      <c r="D4" s="301">
        <v>121.86</v>
      </c>
      <c r="E4" s="48" t="s">
        <v>161</v>
      </c>
    </row>
    <row r="5" spans="1:5" ht="12.75">
      <c r="A5" s="5">
        <v>3061</v>
      </c>
      <c r="B5" s="207" t="s">
        <v>348</v>
      </c>
      <c r="C5" s="5" t="s">
        <v>322</v>
      </c>
      <c r="D5" s="302">
        <v>5.7</v>
      </c>
      <c r="E5" s="48" t="s">
        <v>161</v>
      </c>
    </row>
    <row r="6" spans="1:5" ht="12.75">
      <c r="A6" s="849">
        <v>3062</v>
      </c>
      <c r="B6" s="207" t="s">
        <v>323</v>
      </c>
      <c r="C6" s="850" t="s">
        <v>322</v>
      </c>
      <c r="D6" s="302">
        <v>6.9</v>
      </c>
      <c r="E6" s="306" t="s">
        <v>161</v>
      </c>
    </row>
    <row r="7" spans="1:4" ht="12.75">
      <c r="A7" s="849"/>
      <c r="B7" s="208" t="s">
        <v>324</v>
      </c>
      <c r="C7" s="850"/>
      <c r="D7" s="232"/>
    </row>
    <row r="8" spans="1:5" ht="14.25">
      <c r="A8" s="233">
        <v>83769</v>
      </c>
      <c r="B8" s="177" t="s">
        <v>326</v>
      </c>
      <c r="C8" s="5" t="s">
        <v>321</v>
      </c>
      <c r="D8" s="300">
        <v>6.21</v>
      </c>
      <c r="E8" s="48" t="s">
        <v>161</v>
      </c>
    </row>
    <row r="9" spans="1:5" ht="12.75">
      <c r="A9" s="233" t="s">
        <v>191</v>
      </c>
      <c r="B9" s="135" t="s">
        <v>325</v>
      </c>
      <c r="C9" s="5" t="s">
        <v>322</v>
      </c>
      <c r="D9" s="300">
        <v>95.75</v>
      </c>
      <c r="E9" s="48" t="s">
        <v>161</v>
      </c>
    </row>
    <row r="10" spans="1:5" ht="12.75">
      <c r="A10" s="233" t="s">
        <v>426</v>
      </c>
      <c r="B10" s="135" t="s">
        <v>427</v>
      </c>
      <c r="C10" s="5" t="s">
        <v>2</v>
      </c>
      <c r="D10" s="300">
        <v>977.02</v>
      </c>
      <c r="E10" s="48" t="s">
        <v>161</v>
      </c>
    </row>
    <row r="11" spans="1:5" ht="12.75">
      <c r="A11" s="233" t="s">
        <v>428</v>
      </c>
      <c r="B11" s="135" t="s">
        <v>429</v>
      </c>
      <c r="C11" s="5" t="s">
        <v>321</v>
      </c>
      <c r="D11" s="300">
        <v>1.94</v>
      </c>
      <c r="E11" s="48" t="s">
        <v>161</v>
      </c>
    </row>
    <row r="12" spans="1:5" ht="12.75">
      <c r="A12" s="233" t="s">
        <v>430</v>
      </c>
      <c r="B12" s="135" t="s">
        <v>431</v>
      </c>
      <c r="C12" s="5" t="s">
        <v>322</v>
      </c>
      <c r="D12" s="300">
        <v>7.91</v>
      </c>
      <c r="E12" s="48" t="s">
        <v>161</v>
      </c>
    </row>
    <row r="15" spans="1:5" ht="12.75">
      <c r="A15" s="5">
        <v>73730</v>
      </c>
      <c r="B15" s="135" t="s">
        <v>327</v>
      </c>
      <c r="C15" s="5" t="s">
        <v>328</v>
      </c>
      <c r="D15" s="300">
        <v>9.98</v>
      </c>
      <c r="E15" s="48" t="s">
        <v>161</v>
      </c>
    </row>
    <row r="16" spans="1:5" ht="12.75">
      <c r="A16" s="5">
        <v>73724</v>
      </c>
      <c r="B16" s="135" t="s">
        <v>329</v>
      </c>
      <c r="C16" s="5" t="s">
        <v>328</v>
      </c>
      <c r="D16" s="300">
        <v>14.19</v>
      </c>
      <c r="E16" s="306" t="s">
        <v>161</v>
      </c>
    </row>
    <row r="17" spans="1:5" ht="12.75">
      <c r="A17" s="5">
        <v>73722</v>
      </c>
      <c r="B17" s="135" t="s">
        <v>330</v>
      </c>
      <c r="C17" s="5" t="s">
        <v>328</v>
      </c>
      <c r="D17" s="300">
        <v>27.61</v>
      </c>
      <c r="E17" s="306" t="s">
        <v>161</v>
      </c>
    </row>
    <row r="18" spans="1:5" ht="12.75">
      <c r="A18" s="5">
        <v>73720</v>
      </c>
      <c r="B18" s="135" t="s">
        <v>331</v>
      </c>
      <c r="C18" s="5" t="s">
        <v>328</v>
      </c>
      <c r="D18" s="300">
        <v>57.44</v>
      </c>
      <c r="E18" s="306" t="s">
        <v>161</v>
      </c>
    </row>
    <row r="19" spans="1:5" ht="12.75">
      <c r="A19" s="5">
        <v>73721</v>
      </c>
      <c r="B19" s="135" t="s">
        <v>332</v>
      </c>
      <c r="C19" s="5" t="s">
        <v>328</v>
      </c>
      <c r="D19" s="300">
        <v>86.39</v>
      </c>
      <c r="E19" s="306" t="s">
        <v>161</v>
      </c>
    </row>
    <row r="20" spans="1:5" ht="12.75">
      <c r="A20" s="5">
        <v>73719</v>
      </c>
      <c r="B20" s="135" t="s">
        <v>333</v>
      </c>
      <c r="C20" s="5" t="s">
        <v>328</v>
      </c>
      <c r="D20" s="300">
        <v>107.69</v>
      </c>
      <c r="E20" s="306" t="s">
        <v>161</v>
      </c>
    </row>
    <row r="21" spans="1:5" ht="12.75">
      <c r="A21" s="5">
        <v>73718</v>
      </c>
      <c r="B21" s="135" t="s">
        <v>334</v>
      </c>
      <c r="C21" s="5" t="s">
        <v>328</v>
      </c>
      <c r="D21" s="300">
        <v>167.8</v>
      </c>
      <c r="E21" s="306" t="s">
        <v>161</v>
      </c>
    </row>
    <row r="24" spans="1:5" ht="12.75">
      <c r="A24" s="5">
        <v>7790</v>
      </c>
      <c r="B24" s="135" t="s">
        <v>335</v>
      </c>
      <c r="C24" s="5" t="s">
        <v>328</v>
      </c>
      <c r="D24" s="300">
        <v>21.9</v>
      </c>
      <c r="E24" s="48" t="s">
        <v>161</v>
      </c>
    </row>
    <row r="25" spans="1:5" ht="12.75">
      <c r="A25" s="5">
        <v>7785</v>
      </c>
      <c r="B25" s="135" t="s">
        <v>336</v>
      </c>
      <c r="C25" s="5" t="s">
        <v>328</v>
      </c>
      <c r="D25" s="300">
        <v>28.82</v>
      </c>
      <c r="E25" s="306" t="s">
        <v>161</v>
      </c>
    </row>
    <row r="26" spans="1:5" ht="12.75">
      <c r="A26" s="5">
        <v>7761</v>
      </c>
      <c r="B26" s="135" t="s">
        <v>337</v>
      </c>
      <c r="C26" s="5" t="s">
        <v>328</v>
      </c>
      <c r="D26" s="300">
        <v>51.66</v>
      </c>
      <c r="E26" s="306" t="s">
        <v>161</v>
      </c>
    </row>
    <row r="27" spans="1:5" ht="12.75">
      <c r="A27" s="5">
        <v>7793</v>
      </c>
      <c r="B27" s="135" t="s">
        <v>339</v>
      </c>
      <c r="C27" s="5" t="s">
        <v>328</v>
      </c>
      <c r="D27" s="300">
        <v>55.33</v>
      </c>
      <c r="E27" s="306" t="s">
        <v>161</v>
      </c>
    </row>
    <row r="28" spans="1:5" ht="12.75">
      <c r="A28" s="5">
        <v>7762</v>
      </c>
      <c r="B28" s="135" t="s">
        <v>338</v>
      </c>
      <c r="C28" s="5" t="s">
        <v>328</v>
      </c>
      <c r="D28" s="300">
        <v>89.32</v>
      </c>
      <c r="E28" s="306" t="s">
        <v>161</v>
      </c>
    </row>
    <row r="29" spans="1:5" ht="12.75">
      <c r="A29" s="5">
        <v>7763</v>
      </c>
      <c r="B29" s="135" t="s">
        <v>340</v>
      </c>
      <c r="C29" s="5" t="s">
        <v>328</v>
      </c>
      <c r="D29" s="300">
        <v>135.96</v>
      </c>
      <c r="E29" s="306" t="s">
        <v>161</v>
      </c>
    </row>
    <row r="30" spans="1:5" ht="12.75">
      <c r="A30" s="5">
        <v>7765</v>
      </c>
      <c r="B30" s="135" t="s">
        <v>341</v>
      </c>
      <c r="C30" s="5" t="s">
        <v>328</v>
      </c>
      <c r="D30" s="300">
        <v>227.86</v>
      </c>
      <c r="E30" s="306" t="s">
        <v>161</v>
      </c>
    </row>
    <row r="31" spans="1:5" ht="12.75">
      <c r="A31" s="5">
        <v>7766</v>
      </c>
      <c r="B31" s="135" t="s">
        <v>342</v>
      </c>
      <c r="C31" s="5" t="s">
        <v>328</v>
      </c>
      <c r="D31" s="300">
        <v>328.91</v>
      </c>
      <c r="E31" s="306" t="s">
        <v>161</v>
      </c>
    </row>
    <row r="32" spans="1:5" ht="12.75">
      <c r="A32" s="5">
        <v>7767</v>
      </c>
      <c r="B32" s="135" t="s">
        <v>343</v>
      </c>
      <c r="C32" s="5" t="s">
        <v>328</v>
      </c>
      <c r="D32" s="300">
        <v>445.32</v>
      </c>
      <c r="E32" s="306" t="s">
        <v>161</v>
      </c>
    </row>
    <row r="35" spans="1:5" ht="12.75">
      <c r="A35" s="5">
        <v>72920</v>
      </c>
      <c r="B35" s="135" t="s">
        <v>344</v>
      </c>
      <c r="C35" s="5" t="s">
        <v>322</v>
      </c>
      <c r="D35" s="300">
        <v>11.65</v>
      </c>
      <c r="E35" s="48" t="s">
        <v>161</v>
      </c>
    </row>
    <row r="36" spans="1:5" ht="12.75">
      <c r="A36" s="5">
        <v>72921</v>
      </c>
      <c r="B36" s="135" t="s">
        <v>345</v>
      </c>
      <c r="C36" s="5" t="s">
        <v>322</v>
      </c>
      <c r="D36" s="300">
        <v>52.46</v>
      </c>
      <c r="E36" s="48" t="s">
        <v>161</v>
      </c>
    </row>
    <row r="37" spans="1:4" ht="12.75">
      <c r="A37" s="2"/>
      <c r="B37" s="209"/>
      <c r="C37" s="2"/>
      <c r="D37" s="303"/>
    </row>
    <row r="39" spans="1:5" ht="12.75">
      <c r="A39" s="233" t="s">
        <v>272</v>
      </c>
      <c r="B39" s="135" t="s">
        <v>271</v>
      </c>
      <c r="C39" s="233" t="s">
        <v>2</v>
      </c>
      <c r="D39" s="300">
        <v>280.61</v>
      </c>
      <c r="E39" s="48" t="s">
        <v>161</v>
      </c>
    </row>
    <row r="40" spans="1:5" ht="12.75">
      <c r="A40" s="233" t="s">
        <v>274</v>
      </c>
      <c r="B40" s="135" t="s">
        <v>273</v>
      </c>
      <c r="C40" s="233" t="s">
        <v>2</v>
      </c>
      <c r="D40" s="300">
        <v>470.16</v>
      </c>
      <c r="E40" s="306" t="s">
        <v>161</v>
      </c>
    </row>
    <row r="41" spans="1:5" ht="12.75">
      <c r="A41" s="233" t="s">
        <v>275</v>
      </c>
      <c r="B41" s="135" t="s">
        <v>432</v>
      </c>
      <c r="C41" s="233" t="s">
        <v>2</v>
      </c>
      <c r="D41" s="300">
        <v>717.01</v>
      </c>
      <c r="E41" s="306" t="s">
        <v>161</v>
      </c>
    </row>
    <row r="42" spans="1:5" ht="12.75">
      <c r="A42" s="233" t="s">
        <v>277</v>
      </c>
      <c r="B42" s="135" t="s">
        <v>276</v>
      </c>
      <c r="C42" s="233" t="s">
        <v>2</v>
      </c>
      <c r="D42" s="300">
        <v>1026.09</v>
      </c>
      <c r="E42" s="306" t="s">
        <v>161</v>
      </c>
    </row>
    <row r="43" spans="1:5" ht="12.75">
      <c r="A43" s="233" t="s">
        <v>433</v>
      </c>
      <c r="B43" s="135" t="s">
        <v>278</v>
      </c>
      <c r="C43" s="233" t="s">
        <v>2</v>
      </c>
      <c r="D43" s="300">
        <v>1401.27</v>
      </c>
      <c r="E43" s="306" t="s">
        <v>161</v>
      </c>
    </row>
    <row r="46" spans="1:5" ht="12.75">
      <c r="A46" s="233" t="s">
        <v>280</v>
      </c>
      <c r="B46" s="135" t="s">
        <v>279</v>
      </c>
      <c r="C46" s="233" t="s">
        <v>2</v>
      </c>
      <c r="D46" s="300">
        <v>402.16</v>
      </c>
      <c r="E46" s="48" t="s">
        <v>161</v>
      </c>
    </row>
    <row r="47" spans="1:5" ht="12.75">
      <c r="A47" s="233" t="s">
        <v>282</v>
      </c>
      <c r="B47" s="135" t="s">
        <v>281</v>
      </c>
      <c r="C47" s="233" t="s">
        <v>2</v>
      </c>
      <c r="D47" s="300">
        <v>676.38</v>
      </c>
      <c r="E47" s="306" t="s">
        <v>161</v>
      </c>
    </row>
    <row r="48" spans="1:5" ht="12.75">
      <c r="A48" s="233" t="s">
        <v>284</v>
      </c>
      <c r="B48" s="135" t="s">
        <v>283</v>
      </c>
      <c r="C48" s="233" t="s">
        <v>2</v>
      </c>
      <c r="D48" s="300">
        <v>1031.34</v>
      </c>
      <c r="E48" s="306" t="s">
        <v>161</v>
      </c>
    </row>
    <row r="49" spans="1:5" ht="12.75">
      <c r="A49" s="233" t="s">
        <v>286</v>
      </c>
      <c r="B49" s="135" t="s">
        <v>285</v>
      </c>
      <c r="C49" s="233" t="s">
        <v>2</v>
      </c>
      <c r="D49" s="300">
        <v>1472.28</v>
      </c>
      <c r="E49" s="306" t="s">
        <v>161</v>
      </c>
    </row>
    <row r="50" spans="1:5" ht="12.75">
      <c r="A50" s="233" t="s">
        <v>287</v>
      </c>
      <c r="B50" s="305" t="s">
        <v>462</v>
      </c>
      <c r="C50" s="233" t="s">
        <v>2</v>
      </c>
      <c r="D50" s="300">
        <v>2004.69</v>
      </c>
      <c r="E50" s="306" t="s">
        <v>161</v>
      </c>
    </row>
    <row r="51" ht="12.75">
      <c r="D51" s="304"/>
    </row>
    <row r="53" spans="1:5" ht="12.75">
      <c r="A53" s="5">
        <v>72961</v>
      </c>
      <c r="B53" s="135" t="s">
        <v>346</v>
      </c>
      <c r="C53" s="5" t="s">
        <v>321</v>
      </c>
      <c r="D53" s="300">
        <v>1.28</v>
      </c>
      <c r="E53" s="48" t="s">
        <v>161</v>
      </c>
    </row>
    <row r="54" spans="1:5" ht="12.75">
      <c r="A54" s="5">
        <v>72948</v>
      </c>
      <c r="B54" s="135" t="s">
        <v>347</v>
      </c>
      <c r="C54" s="5" t="s">
        <v>322</v>
      </c>
      <c r="D54" s="300">
        <v>83.74</v>
      </c>
      <c r="E54" s="306" t="s">
        <v>161</v>
      </c>
    </row>
    <row r="55" spans="1:5" ht="12.75">
      <c r="A55" s="233" t="s">
        <v>237</v>
      </c>
      <c r="B55" s="135" t="s">
        <v>238</v>
      </c>
      <c r="C55" s="5" t="s">
        <v>322</v>
      </c>
      <c r="D55" s="300">
        <v>83.38</v>
      </c>
      <c r="E55" s="306" t="s">
        <v>161</v>
      </c>
    </row>
    <row r="56" spans="1:5" ht="12.75">
      <c r="A56" s="233" t="s">
        <v>356</v>
      </c>
      <c r="B56" s="135" t="s">
        <v>355</v>
      </c>
      <c r="C56" s="5" t="s">
        <v>322</v>
      </c>
      <c r="D56" s="300">
        <v>93.92</v>
      </c>
      <c r="E56" s="306" t="s">
        <v>161</v>
      </c>
    </row>
    <row r="57" spans="1:5" ht="12.75">
      <c r="A57" s="233" t="s">
        <v>154</v>
      </c>
      <c r="B57" s="135" t="s">
        <v>349</v>
      </c>
      <c r="C57" s="5" t="s">
        <v>328</v>
      </c>
      <c r="D57" s="300">
        <v>26.52</v>
      </c>
      <c r="E57" s="306" t="s">
        <v>161</v>
      </c>
    </row>
    <row r="58" spans="1:5" ht="12.75">
      <c r="A58" s="233" t="s">
        <v>351</v>
      </c>
      <c r="B58" s="135" t="s">
        <v>350</v>
      </c>
      <c r="C58" s="5" t="s">
        <v>328</v>
      </c>
      <c r="D58" s="300">
        <v>25.94</v>
      </c>
      <c r="E58" s="306" t="s">
        <v>161</v>
      </c>
    </row>
    <row r="59" spans="1:5" ht="12.75">
      <c r="A59" s="233" t="s">
        <v>463</v>
      </c>
      <c r="B59" s="135" t="s">
        <v>408</v>
      </c>
      <c r="C59" s="233" t="s">
        <v>328</v>
      </c>
      <c r="D59" s="300">
        <v>24.16</v>
      </c>
      <c r="E59" s="306" t="s">
        <v>161</v>
      </c>
    </row>
    <row r="60" spans="1:5" ht="12.75">
      <c r="A60" s="233" t="s">
        <v>464</v>
      </c>
      <c r="B60" s="135" t="s">
        <v>409</v>
      </c>
      <c r="C60" s="233" t="s">
        <v>328</v>
      </c>
      <c r="D60" s="300">
        <v>17.1</v>
      </c>
      <c r="E60" s="306" t="s">
        <v>161</v>
      </c>
    </row>
    <row r="61" spans="1:5" ht="12.75">
      <c r="A61" s="233" t="s">
        <v>313</v>
      </c>
      <c r="B61" s="135" t="s">
        <v>352</v>
      </c>
      <c r="C61" s="5" t="s">
        <v>321</v>
      </c>
      <c r="D61" s="300">
        <v>47.1</v>
      </c>
      <c r="E61" s="48" t="s">
        <v>161</v>
      </c>
    </row>
    <row r="62" spans="1:4" ht="12.75">
      <c r="A62" s="233" t="s">
        <v>219</v>
      </c>
      <c r="B62" s="305" t="s">
        <v>395</v>
      </c>
      <c r="C62" s="5" t="s">
        <v>321</v>
      </c>
      <c r="D62" s="300">
        <v>46.69</v>
      </c>
    </row>
    <row r="63" spans="1:4" ht="12.75">
      <c r="A63" s="233" t="s">
        <v>353</v>
      </c>
      <c r="B63" s="135" t="s">
        <v>396</v>
      </c>
      <c r="C63" s="5" t="s">
        <v>321</v>
      </c>
      <c r="D63" s="300">
        <v>56.32</v>
      </c>
    </row>
    <row r="64" spans="1:5" ht="12.75">
      <c r="A64" s="5">
        <v>72944</v>
      </c>
      <c r="B64" s="135" t="s">
        <v>354</v>
      </c>
      <c r="C64" s="5" t="s">
        <v>321</v>
      </c>
      <c r="D64" s="300">
        <v>37.75</v>
      </c>
      <c r="E64" s="48" t="s">
        <v>161</v>
      </c>
    </row>
    <row r="65" spans="1:4" ht="12.75">
      <c r="A65" s="2"/>
      <c r="B65" s="209"/>
      <c r="C65" s="2"/>
      <c r="D65" s="304"/>
    </row>
    <row r="66" spans="1:4" ht="12.75">
      <c r="A66" s="2"/>
      <c r="B66" s="209"/>
      <c r="C66" s="2"/>
      <c r="D66" s="304"/>
    </row>
    <row r="67" spans="1:5" ht="12.75">
      <c r="A67" s="233" t="s">
        <v>220</v>
      </c>
      <c r="B67" s="135" t="s">
        <v>357</v>
      </c>
      <c r="C67" s="5" t="s">
        <v>321</v>
      </c>
      <c r="D67" s="300">
        <v>2.67</v>
      </c>
      <c r="E67" s="48" t="s">
        <v>161</v>
      </c>
    </row>
    <row r="68" spans="1:5" ht="12.75">
      <c r="A68" s="5">
        <v>6081</v>
      </c>
      <c r="B68" s="135" t="s">
        <v>358</v>
      </c>
      <c r="C68" s="5" t="s">
        <v>322</v>
      </c>
      <c r="D68" s="300">
        <v>18.64</v>
      </c>
      <c r="E68" s="48" t="s">
        <v>161</v>
      </c>
    </row>
    <row r="69" spans="1:4" ht="12.75">
      <c r="A69" s="2"/>
      <c r="B69" s="209"/>
      <c r="C69" s="2"/>
      <c r="D69" s="303"/>
    </row>
    <row r="70" spans="1:4" ht="12.75">
      <c r="A70" s="2"/>
      <c r="B70" s="209"/>
      <c r="C70" s="2"/>
      <c r="D70" s="303"/>
    </row>
    <row r="71" spans="1:5" ht="12.75">
      <c r="A71" s="233" t="s">
        <v>434</v>
      </c>
      <c r="B71" s="135" t="s">
        <v>435</v>
      </c>
      <c r="C71" s="233" t="s">
        <v>322</v>
      </c>
      <c r="D71" s="300">
        <v>3.32</v>
      </c>
      <c r="E71" s="48" t="s">
        <v>161</v>
      </c>
    </row>
    <row r="72" spans="1:5" ht="12.75">
      <c r="A72" s="233" t="s">
        <v>436</v>
      </c>
      <c r="B72" s="135" t="s">
        <v>437</v>
      </c>
      <c r="C72" s="233" t="s">
        <v>322</v>
      </c>
      <c r="D72" s="300">
        <v>2.38</v>
      </c>
      <c r="E72" s="48" t="s">
        <v>161</v>
      </c>
    </row>
    <row r="73" spans="1:5" ht="12.75">
      <c r="A73" s="233" t="s">
        <v>438</v>
      </c>
      <c r="B73" s="135" t="s">
        <v>439</v>
      </c>
      <c r="C73" s="233" t="s">
        <v>322</v>
      </c>
      <c r="D73" s="300">
        <v>18.53</v>
      </c>
      <c r="E73" s="48" t="s">
        <v>161</v>
      </c>
    </row>
    <row r="74" spans="1:5" ht="12.75">
      <c r="A74" s="5">
        <v>72942</v>
      </c>
      <c r="B74" s="135" t="s">
        <v>359</v>
      </c>
      <c r="C74" s="5" t="s">
        <v>321</v>
      </c>
      <c r="D74" s="300">
        <v>1.01</v>
      </c>
      <c r="E74" s="306" t="s">
        <v>161</v>
      </c>
    </row>
    <row r="75" spans="1:5" ht="12.75">
      <c r="A75" s="5">
        <v>72943</v>
      </c>
      <c r="B75" s="135" t="s">
        <v>360</v>
      </c>
      <c r="C75" s="5" t="s">
        <v>321</v>
      </c>
      <c r="D75" s="300">
        <v>1.05</v>
      </c>
      <c r="E75" s="306" t="s">
        <v>161</v>
      </c>
    </row>
    <row r="76" spans="1:5" ht="12.75">
      <c r="A76" s="5">
        <v>72945</v>
      </c>
      <c r="B76" s="135" t="s">
        <v>361</v>
      </c>
      <c r="C76" s="5" t="s">
        <v>321</v>
      </c>
      <c r="D76" s="300">
        <v>2.76</v>
      </c>
      <c r="E76" s="306" t="s">
        <v>161</v>
      </c>
    </row>
    <row r="77" spans="1:5" ht="12.75">
      <c r="A77" s="5">
        <v>72946</v>
      </c>
      <c r="B77" s="135" t="s">
        <v>362</v>
      </c>
      <c r="C77" s="5" t="s">
        <v>321</v>
      </c>
      <c r="D77" s="300">
        <v>2.95</v>
      </c>
      <c r="E77" s="306" t="s">
        <v>161</v>
      </c>
    </row>
    <row r="78" spans="1:5" ht="12.75">
      <c r="A78" s="5">
        <v>72954</v>
      </c>
      <c r="B78" s="135" t="s">
        <v>363</v>
      </c>
      <c r="C78" s="5" t="s">
        <v>321</v>
      </c>
      <c r="D78" s="300">
        <v>4.31</v>
      </c>
      <c r="E78" s="306" t="s">
        <v>161</v>
      </c>
    </row>
    <row r="79" spans="1:5" ht="12.75">
      <c r="A79" s="5">
        <v>72955</v>
      </c>
      <c r="B79" s="135" t="s">
        <v>364</v>
      </c>
      <c r="C79" s="5" t="s">
        <v>321</v>
      </c>
      <c r="D79" s="300">
        <v>9.06</v>
      </c>
      <c r="E79" s="306" t="s">
        <v>161</v>
      </c>
    </row>
    <row r="80" spans="1:5" ht="12.75">
      <c r="A80" s="5">
        <v>73710</v>
      </c>
      <c r="B80" s="135" t="s">
        <v>365</v>
      </c>
      <c r="C80" s="5" t="s">
        <v>322</v>
      </c>
      <c r="D80" s="300">
        <v>128.06</v>
      </c>
      <c r="E80" s="306" t="s">
        <v>161</v>
      </c>
    </row>
    <row r="81" spans="1:5" ht="12.75">
      <c r="A81" s="5">
        <v>73711</v>
      </c>
      <c r="B81" s="135" t="s">
        <v>366</v>
      </c>
      <c r="C81" s="5" t="s">
        <v>322</v>
      </c>
      <c r="D81" s="300">
        <v>98.29</v>
      </c>
      <c r="E81" s="306" t="s">
        <v>161</v>
      </c>
    </row>
    <row r="82" spans="1:5" ht="12.75">
      <c r="A82" s="5">
        <v>72965</v>
      </c>
      <c r="B82" s="135" t="s">
        <v>440</v>
      </c>
      <c r="C82" s="5" t="s">
        <v>441</v>
      </c>
      <c r="D82" s="300">
        <v>177.01</v>
      </c>
      <c r="E82" s="306" t="s">
        <v>161</v>
      </c>
    </row>
    <row r="85" spans="1:5" ht="12.75">
      <c r="A85" s="233" t="s">
        <v>162</v>
      </c>
      <c r="B85" s="135" t="s">
        <v>368</v>
      </c>
      <c r="C85" s="233" t="s">
        <v>322</v>
      </c>
      <c r="D85" s="300">
        <v>95.75</v>
      </c>
      <c r="E85" s="48" t="s">
        <v>161</v>
      </c>
    </row>
    <row r="86" spans="1:5" ht="12.75">
      <c r="A86" s="5">
        <v>72831</v>
      </c>
      <c r="B86" s="135" t="s">
        <v>367</v>
      </c>
      <c r="C86" s="5" t="s">
        <v>321</v>
      </c>
      <c r="D86" s="300">
        <v>26.11</v>
      </c>
      <c r="E86" s="306" t="s">
        <v>161</v>
      </c>
    </row>
    <row r="87" spans="1:5" ht="12.75">
      <c r="A87" s="233" t="s">
        <v>372</v>
      </c>
      <c r="B87" s="135" t="s">
        <v>371</v>
      </c>
      <c r="C87" s="5" t="s">
        <v>370</v>
      </c>
      <c r="D87" s="300">
        <v>5.29</v>
      </c>
      <c r="E87" s="306" t="s">
        <v>161</v>
      </c>
    </row>
    <row r="88" spans="1:5" ht="12.75">
      <c r="A88" s="233" t="s">
        <v>316</v>
      </c>
      <c r="B88" s="135" t="s">
        <v>369</v>
      </c>
      <c r="C88" s="5" t="s">
        <v>370</v>
      </c>
      <c r="D88" s="300">
        <v>6.11</v>
      </c>
      <c r="E88" s="306" t="s">
        <v>161</v>
      </c>
    </row>
    <row r="89" spans="1:5" ht="12.75">
      <c r="A89" s="233" t="s">
        <v>317</v>
      </c>
      <c r="B89" s="135" t="s">
        <v>373</v>
      </c>
      <c r="C89" s="5" t="s">
        <v>370</v>
      </c>
      <c r="D89" s="300">
        <v>5.75</v>
      </c>
      <c r="E89" s="306" t="s">
        <v>161</v>
      </c>
    </row>
    <row r="90" spans="1:5" ht="12.75">
      <c r="A90" s="233" t="s">
        <v>375</v>
      </c>
      <c r="B90" s="135" t="s">
        <v>374</v>
      </c>
      <c r="C90" s="5" t="s">
        <v>370</v>
      </c>
      <c r="D90" s="300">
        <v>6.5</v>
      </c>
      <c r="E90" s="306" t="s">
        <v>161</v>
      </c>
    </row>
    <row r="91" spans="1:5" ht="12.75">
      <c r="A91" s="233" t="s">
        <v>31</v>
      </c>
      <c r="B91" s="135" t="s">
        <v>376</v>
      </c>
      <c r="C91" s="5" t="s">
        <v>322</v>
      </c>
      <c r="D91" s="300">
        <v>343.61</v>
      </c>
      <c r="E91" s="306" t="s">
        <v>161</v>
      </c>
    </row>
    <row r="92" spans="1:5" ht="12.75">
      <c r="A92" s="233" t="s">
        <v>378</v>
      </c>
      <c r="B92" s="135" t="s">
        <v>377</v>
      </c>
      <c r="C92" s="5" t="s">
        <v>322</v>
      </c>
      <c r="D92" s="300">
        <v>338.38</v>
      </c>
      <c r="E92" s="306" t="s">
        <v>161</v>
      </c>
    </row>
    <row r="93" spans="1:5" ht="12.75">
      <c r="A93" s="233" t="s">
        <v>380</v>
      </c>
      <c r="B93" s="135" t="s">
        <v>379</v>
      </c>
      <c r="C93" s="5" t="s">
        <v>322</v>
      </c>
      <c r="D93" s="300">
        <v>361.19</v>
      </c>
      <c r="E93" s="306" t="s">
        <v>161</v>
      </c>
    </row>
    <row r="94" spans="1:5" ht="12.75">
      <c r="A94" s="233" t="s">
        <v>315</v>
      </c>
      <c r="B94" s="135" t="s">
        <v>314</v>
      </c>
      <c r="C94" s="5" t="s">
        <v>322</v>
      </c>
      <c r="D94" s="300">
        <v>390.25</v>
      </c>
      <c r="E94" s="306" t="s">
        <v>161</v>
      </c>
    </row>
    <row r="95" spans="1:5" ht="12.75">
      <c r="A95" s="5">
        <v>32</v>
      </c>
      <c r="B95" s="135" t="s">
        <v>381</v>
      </c>
      <c r="C95" s="5" t="s">
        <v>370</v>
      </c>
      <c r="D95" s="300">
        <v>3.79</v>
      </c>
      <c r="E95" s="306" t="s">
        <v>161</v>
      </c>
    </row>
    <row r="96" spans="1:5" ht="12.75">
      <c r="A96" s="5">
        <v>33</v>
      </c>
      <c r="B96" s="135" t="s">
        <v>442</v>
      </c>
      <c r="C96" s="233" t="s">
        <v>370</v>
      </c>
      <c r="D96" s="300">
        <v>3.56</v>
      </c>
      <c r="E96" s="306" t="s">
        <v>161</v>
      </c>
    </row>
    <row r="97" spans="1:5" ht="12.75">
      <c r="A97" s="5">
        <v>34</v>
      </c>
      <c r="B97" s="135" t="s">
        <v>382</v>
      </c>
      <c r="C97" s="5" t="s">
        <v>370</v>
      </c>
      <c r="D97" s="300">
        <v>3.36</v>
      </c>
      <c r="E97" s="306" t="s">
        <v>161</v>
      </c>
    </row>
    <row r="98" spans="1:5" ht="12.75">
      <c r="A98" s="5">
        <v>7258</v>
      </c>
      <c r="B98" s="135" t="s">
        <v>383</v>
      </c>
      <c r="C98" s="233" t="s">
        <v>2</v>
      </c>
      <c r="D98" s="300">
        <v>0.39</v>
      </c>
      <c r="E98" s="306" t="s">
        <v>161</v>
      </c>
    </row>
    <row r="99" spans="1:5" ht="12.75">
      <c r="A99" s="5">
        <v>371</v>
      </c>
      <c r="B99" s="135" t="s">
        <v>384</v>
      </c>
      <c r="C99" s="5" t="s">
        <v>370</v>
      </c>
      <c r="D99" s="300">
        <v>0.37</v>
      </c>
      <c r="E99" s="306" t="s">
        <v>161</v>
      </c>
    </row>
    <row r="100" spans="1:5" ht="12.75">
      <c r="A100" s="5">
        <v>21090</v>
      </c>
      <c r="B100" s="135" t="s">
        <v>385</v>
      </c>
      <c r="C100" s="233" t="s">
        <v>2</v>
      </c>
      <c r="D100" s="300">
        <v>282.2</v>
      </c>
      <c r="E100" s="306" t="s">
        <v>161</v>
      </c>
    </row>
    <row r="101" spans="1:5" ht="12.75">
      <c r="A101" s="5">
        <v>6127</v>
      </c>
      <c r="B101" s="135" t="s">
        <v>386</v>
      </c>
      <c r="C101" s="5" t="s">
        <v>387</v>
      </c>
      <c r="D101" s="300">
        <v>8.76</v>
      </c>
      <c r="E101" s="306" t="s">
        <v>161</v>
      </c>
    </row>
    <row r="102" spans="1:5" ht="12.75">
      <c r="A102" s="5">
        <v>4750</v>
      </c>
      <c r="B102" s="135" t="s">
        <v>388</v>
      </c>
      <c r="C102" s="5" t="s">
        <v>387</v>
      </c>
      <c r="D102" s="300">
        <v>12.81</v>
      </c>
      <c r="E102" s="306" t="s">
        <v>161</v>
      </c>
    </row>
    <row r="105" spans="1:5" ht="12.75">
      <c r="A105" s="233" t="s">
        <v>443</v>
      </c>
      <c r="B105" s="135" t="s">
        <v>390</v>
      </c>
      <c r="C105" s="233" t="s">
        <v>2</v>
      </c>
      <c r="D105" s="300">
        <v>128.1</v>
      </c>
      <c r="E105" s="48" t="s">
        <v>161</v>
      </c>
    </row>
    <row r="106" spans="1:5" ht="14.25">
      <c r="A106" s="233" t="s">
        <v>465</v>
      </c>
      <c r="B106" s="178" t="s">
        <v>390</v>
      </c>
      <c r="C106" s="233" t="s">
        <v>321</v>
      </c>
      <c r="D106" s="231">
        <v>299.19</v>
      </c>
      <c r="E106" s="306" t="s">
        <v>161</v>
      </c>
    </row>
    <row r="107" spans="1:5" ht="12.75">
      <c r="A107" s="233" t="s">
        <v>150</v>
      </c>
      <c r="B107" s="135" t="s">
        <v>389</v>
      </c>
      <c r="C107" s="233" t="s">
        <v>2</v>
      </c>
      <c r="D107" s="300">
        <v>113.52</v>
      </c>
      <c r="E107" s="48" t="s">
        <v>161</v>
      </c>
    </row>
    <row r="108" spans="1:5" ht="12.75">
      <c r="A108" s="5">
        <v>72947</v>
      </c>
      <c r="B108" s="305" t="s">
        <v>444</v>
      </c>
      <c r="C108" s="233" t="s">
        <v>321</v>
      </c>
      <c r="D108" s="300">
        <v>16.06</v>
      </c>
      <c r="E108" s="48" t="s">
        <v>161</v>
      </c>
    </row>
    <row r="109" spans="1:5" ht="12.75">
      <c r="A109" s="233" t="s">
        <v>445</v>
      </c>
      <c r="B109" s="135" t="s">
        <v>446</v>
      </c>
      <c r="C109" s="5" t="s">
        <v>321</v>
      </c>
      <c r="D109" s="300">
        <v>20.25</v>
      </c>
      <c r="E109" s="306" t="s">
        <v>161</v>
      </c>
    </row>
    <row r="110" spans="1:5" ht="12.75">
      <c r="A110" s="233" t="s">
        <v>447</v>
      </c>
      <c r="B110" s="135" t="s">
        <v>448</v>
      </c>
      <c r="C110" s="5" t="s">
        <v>2</v>
      </c>
      <c r="D110" s="300">
        <v>131.44</v>
      </c>
      <c r="E110" s="306" t="s">
        <v>161</v>
      </c>
    </row>
    <row r="111" spans="1:5" ht="12.75">
      <c r="A111" s="233" t="s">
        <v>449</v>
      </c>
      <c r="B111" s="135" t="s">
        <v>450</v>
      </c>
      <c r="C111" s="5" t="s">
        <v>2</v>
      </c>
      <c r="D111" s="300">
        <v>131.44</v>
      </c>
      <c r="E111" s="306" t="s">
        <v>161</v>
      </c>
    </row>
    <row r="112" spans="1:5" ht="12.75">
      <c r="A112" s="233" t="s">
        <v>451</v>
      </c>
      <c r="B112" s="135" t="s">
        <v>452</v>
      </c>
      <c r="C112" s="5" t="s">
        <v>2</v>
      </c>
      <c r="D112" s="300">
        <v>254.54</v>
      </c>
      <c r="E112" s="306" t="s">
        <v>161</v>
      </c>
    </row>
    <row r="113" spans="1:5" ht="12.75">
      <c r="A113" s="233" t="s">
        <v>453</v>
      </c>
      <c r="B113" s="135" t="s">
        <v>454</v>
      </c>
      <c r="C113" s="5" t="s">
        <v>2</v>
      </c>
      <c r="D113" s="300">
        <v>369.29</v>
      </c>
      <c r="E113" s="306" t="s">
        <v>161</v>
      </c>
    </row>
    <row r="114" spans="1:5" ht="12.75">
      <c r="A114" s="233" t="s">
        <v>455</v>
      </c>
      <c r="B114" s="135" t="s">
        <v>456</v>
      </c>
      <c r="C114" s="5" t="s">
        <v>2</v>
      </c>
      <c r="D114" s="300">
        <v>376.51</v>
      </c>
      <c r="E114" s="306" t="s">
        <v>161</v>
      </c>
    </row>
    <row r="115" spans="1:5" ht="12.75">
      <c r="A115" s="233" t="s">
        <v>457</v>
      </c>
      <c r="B115" s="135" t="s">
        <v>458</v>
      </c>
      <c r="C115" s="5" t="s">
        <v>2</v>
      </c>
      <c r="D115" s="300">
        <v>169.35</v>
      </c>
      <c r="E115" s="306" t="s">
        <v>161</v>
      </c>
    </row>
    <row r="116" spans="1:5" ht="12.75">
      <c r="A116" s="233" t="s">
        <v>459</v>
      </c>
      <c r="B116" s="135" t="s">
        <v>460</v>
      </c>
      <c r="C116" s="5" t="s">
        <v>2</v>
      </c>
      <c r="D116" s="300">
        <v>36.2</v>
      </c>
      <c r="E116" s="306" t="s">
        <v>161</v>
      </c>
    </row>
    <row r="117" spans="1:4" ht="12.75">
      <c r="A117" s="2"/>
      <c r="B117" s="209"/>
      <c r="C117" s="2"/>
      <c r="D117" s="299"/>
    </row>
    <row r="118" ht="12.75">
      <c r="D118" s="234"/>
    </row>
  </sheetData>
  <sheetProtection/>
  <mergeCells count="3">
    <mergeCell ref="B1:B2"/>
    <mergeCell ref="A6:A7"/>
    <mergeCell ref="C6:C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SheetLayoutView="100" zoomScalePageLayoutView="0" workbookViewId="0" topLeftCell="A1">
      <selection activeCell="I61" sqref="I61"/>
    </sheetView>
  </sheetViews>
  <sheetFormatPr defaultColWidth="9.140625" defaultRowHeight="12.75"/>
  <cols>
    <col min="1" max="1" width="10.8515625" style="765" customWidth="1"/>
    <col min="2" max="2" width="61.8515625" style="765" customWidth="1"/>
    <col min="3" max="3" width="13.421875" style="765" customWidth="1"/>
    <col min="4" max="4" width="5.8515625" style="765" bestFit="1" customWidth="1"/>
    <col min="5" max="5" width="14.57421875" style="765" customWidth="1"/>
    <col min="6" max="6" width="18.140625" style="765" customWidth="1"/>
    <col min="7" max="7" width="9.140625" style="765" customWidth="1"/>
    <col min="8" max="8" width="19.28125" style="765" customWidth="1"/>
    <col min="9" max="9" width="19.140625" style="765" customWidth="1"/>
    <col min="10" max="10" width="9.7109375" style="765" bestFit="1" customWidth="1"/>
    <col min="11" max="16384" width="9.140625" style="765" customWidth="1"/>
  </cols>
  <sheetData>
    <row r="1" spans="1:10" ht="12.75">
      <c r="A1" s="510"/>
      <c r="B1" s="762" t="s">
        <v>18</v>
      </c>
      <c r="C1" s="762" t="s">
        <v>19</v>
      </c>
      <c r="D1" s="1187" t="str">
        <f>'dados de entrada'!B9</f>
        <v>SINAPI - 01/01/2014 - COM DESONERAÇÃO </v>
      </c>
      <c r="E1" s="1187"/>
      <c r="F1" s="1188"/>
      <c r="G1" s="763"/>
      <c r="H1" s="764" t="s">
        <v>230</v>
      </c>
      <c r="I1" s="763"/>
      <c r="J1" s="763"/>
    </row>
    <row r="2" spans="1:10" ht="12.75">
      <c r="A2" s="766" t="str">
        <f>'dados de entrada'!B15</f>
        <v>PREFEITURA MUNICIPAL DE BOMBINHAS</v>
      </c>
      <c r="B2" s="767"/>
      <c r="C2" s="511"/>
      <c r="D2" s="511"/>
      <c r="E2" s="511" t="s">
        <v>20</v>
      </c>
      <c r="F2" s="768" t="s">
        <v>21</v>
      </c>
      <c r="G2" s="763"/>
      <c r="H2" s="763"/>
      <c r="I2" s="763"/>
      <c r="J2" s="763"/>
    </row>
    <row r="3" spans="1:10" ht="12.75">
      <c r="A3" s="766" t="str">
        <f>'dados de entrada'!C19</f>
        <v>RUA MERGULHÃO CAÇADOR - BAIRRO BOMBAS</v>
      </c>
      <c r="B3" s="767"/>
      <c r="C3" s="511"/>
      <c r="D3" s="511"/>
      <c r="E3" s="511" t="s">
        <v>22</v>
      </c>
      <c r="F3" s="512" t="s">
        <v>23</v>
      </c>
      <c r="G3" s="763"/>
      <c r="H3" s="763"/>
      <c r="I3" s="763"/>
      <c r="J3" s="763"/>
    </row>
    <row r="4" spans="1:10" ht="12.75">
      <c r="A4" s="766" t="str">
        <f>'dados de entrada'!B8</f>
        <v>PAVIMENTAÇÃO COM LAJOTAS SEXTAVADAS E DRENAGEM PLUVIAL </v>
      </c>
      <c r="B4" s="767"/>
      <c r="C4" s="511"/>
      <c r="D4" s="511"/>
      <c r="E4" s="511"/>
      <c r="F4" s="769"/>
      <c r="G4" s="763"/>
      <c r="H4" s="763"/>
      <c r="I4" s="763"/>
      <c r="J4" s="763"/>
    </row>
    <row r="5" spans="1:10" ht="12.75">
      <c r="A5" s="1189" t="s">
        <v>471</v>
      </c>
      <c r="B5" s="1190"/>
      <c r="C5" s="1190"/>
      <c r="D5" s="1190"/>
      <c r="E5" s="1190"/>
      <c r="F5" s="1191"/>
      <c r="G5" s="763"/>
      <c r="H5" s="763"/>
      <c r="I5" s="763"/>
      <c r="J5" s="763"/>
    </row>
    <row r="6" spans="1:10" ht="12.75">
      <c r="A6" s="1175"/>
      <c r="B6" s="1176"/>
      <c r="C6" s="1176"/>
      <c r="D6" s="1176"/>
      <c r="E6" s="1176"/>
      <c r="F6" s="1177"/>
      <c r="G6" s="763"/>
      <c r="H6" s="763"/>
      <c r="I6" s="763"/>
      <c r="J6" s="763"/>
    </row>
    <row r="7" spans="1:10" ht="12.75">
      <c r="A7" s="1175" t="s">
        <v>24</v>
      </c>
      <c r="B7" s="1176"/>
      <c r="C7" s="1176"/>
      <c r="D7" s="1176" t="s">
        <v>25</v>
      </c>
      <c r="E7" s="1176"/>
      <c r="F7" s="771" t="s">
        <v>11</v>
      </c>
      <c r="G7" s="763"/>
      <c r="H7" s="763"/>
      <c r="I7" s="763"/>
      <c r="J7" s="763"/>
    </row>
    <row r="8" spans="1:10" ht="13.5" thickBot="1">
      <c r="A8" s="1192" t="s">
        <v>570</v>
      </c>
      <c r="B8" s="1193"/>
      <c r="C8" s="1193"/>
      <c r="D8" s="1176" t="s">
        <v>4</v>
      </c>
      <c r="E8" s="1176"/>
      <c r="F8" s="773">
        <f>'[3]dados de entrada'!B3</f>
        <v>41699</v>
      </c>
      <c r="G8" s="763"/>
      <c r="H8" s="763"/>
      <c r="I8" s="763"/>
      <c r="J8" s="763"/>
    </row>
    <row r="9" spans="1:11" ht="13.5" thickBot="1">
      <c r="A9" s="1175"/>
      <c r="B9" s="1176"/>
      <c r="C9" s="1176"/>
      <c r="D9" s="1176"/>
      <c r="E9" s="1176"/>
      <c r="F9" s="1177"/>
      <c r="G9" s="763"/>
      <c r="H9" s="1185" t="s">
        <v>222</v>
      </c>
      <c r="I9" s="1186"/>
      <c r="J9" s="774">
        <v>2.2</v>
      </c>
      <c r="K9" s="765" t="s">
        <v>571</v>
      </c>
    </row>
    <row r="10" spans="1:11" ht="13.5" thickBot="1">
      <c r="A10" s="775" t="s">
        <v>0</v>
      </c>
      <c r="B10" s="776" t="s">
        <v>26</v>
      </c>
      <c r="C10" s="776" t="s">
        <v>27</v>
      </c>
      <c r="D10" s="776" t="s">
        <v>28</v>
      </c>
      <c r="E10" s="776" t="s">
        <v>29</v>
      </c>
      <c r="F10" s="777" t="s">
        <v>30</v>
      </c>
      <c r="G10" s="763"/>
      <c r="H10" s="1185" t="s">
        <v>223</v>
      </c>
      <c r="I10" s="1186"/>
      <c r="J10" s="774">
        <f>(1.5*5.2*O13)-P14</f>
        <v>895.2</v>
      </c>
      <c r="K10" s="765" t="s">
        <v>572</v>
      </c>
    </row>
    <row r="11" spans="1:11" ht="13.5" thickBot="1">
      <c r="A11" s="778">
        <v>73599</v>
      </c>
      <c r="B11" s="779" t="s">
        <v>475</v>
      </c>
      <c r="C11" s="780">
        <f>2.3*1.7*J9</f>
        <v>8.602</v>
      </c>
      <c r="D11" s="781" t="s">
        <v>9</v>
      </c>
      <c r="E11" s="846">
        <v>7.67</v>
      </c>
      <c r="F11" s="783">
        <f aca="true" t="shared" si="0" ref="F11:F25">C11*E11</f>
        <v>65.97734</v>
      </c>
      <c r="G11" s="763"/>
      <c r="H11" s="1181" t="s">
        <v>140</v>
      </c>
      <c r="I11" s="1182"/>
      <c r="J11" s="784">
        <f>C15*0.25</f>
        <v>224</v>
      </c>
      <c r="K11" s="785" t="s">
        <v>573</v>
      </c>
    </row>
    <row r="12" spans="1:15" ht="12.75" customHeight="1">
      <c r="A12" s="786" t="s">
        <v>191</v>
      </c>
      <c r="B12" s="787" t="s">
        <v>574</v>
      </c>
      <c r="C12" s="788">
        <f>2.3*1.7*0.1</f>
        <v>0.391</v>
      </c>
      <c r="D12" s="789" t="s">
        <v>9</v>
      </c>
      <c r="E12" s="782">
        <v>97.19</v>
      </c>
      <c r="F12" s="790">
        <f t="shared" si="0"/>
        <v>38.00129</v>
      </c>
      <c r="G12" s="763"/>
      <c r="H12" s="763"/>
      <c r="I12" s="763"/>
      <c r="J12" s="763"/>
      <c r="N12" s="791" t="s">
        <v>575</v>
      </c>
      <c r="O12" s="791" t="s">
        <v>576</v>
      </c>
    </row>
    <row r="13" spans="1:15" ht="25.5">
      <c r="A13" s="792" t="s">
        <v>31</v>
      </c>
      <c r="B13" s="787" t="s">
        <v>577</v>
      </c>
      <c r="C13" s="788">
        <f>2.3*1.7*0.1</f>
        <v>0.391</v>
      </c>
      <c r="D13" s="789" t="s">
        <v>9</v>
      </c>
      <c r="E13" s="782">
        <v>353.6</v>
      </c>
      <c r="F13" s="790">
        <f t="shared" si="0"/>
        <v>138.25760000000002</v>
      </c>
      <c r="G13" s="763"/>
      <c r="H13" s="763"/>
      <c r="I13" s="763"/>
      <c r="J13" s="763"/>
      <c r="N13" s="791">
        <v>1</v>
      </c>
      <c r="O13" s="791">
        <v>144</v>
      </c>
    </row>
    <row r="14" spans="1:17" ht="12.75" customHeight="1">
      <c r="A14" s="792">
        <v>34</v>
      </c>
      <c r="B14" s="787" t="s">
        <v>221</v>
      </c>
      <c r="C14" s="793">
        <v>50</v>
      </c>
      <c r="D14" s="789" t="s">
        <v>32</v>
      </c>
      <c r="E14" s="782">
        <v>3.66</v>
      </c>
      <c r="F14" s="790">
        <f t="shared" si="0"/>
        <v>183</v>
      </c>
      <c r="G14" s="763"/>
      <c r="H14" s="763"/>
      <c r="I14" s="763"/>
      <c r="J14" s="763"/>
      <c r="N14" s="791">
        <f>PI()*((1/2)^2)</f>
        <v>0.7853981633974483</v>
      </c>
      <c r="O14" s="791">
        <f>ROUNDUP((N14*O13)/N13,0)</f>
        <v>114</v>
      </c>
      <c r="P14" s="765">
        <f>O14*2</f>
        <v>228</v>
      </c>
      <c r="Q14" s="765" t="s">
        <v>578</v>
      </c>
    </row>
    <row r="15" spans="1:10" ht="12.75" customHeight="1" thickBot="1">
      <c r="A15" s="794">
        <v>7258</v>
      </c>
      <c r="B15" s="795" t="s">
        <v>224</v>
      </c>
      <c r="C15" s="796">
        <f>ROUNDUP(J10,0)</f>
        <v>896</v>
      </c>
      <c r="D15" s="770" t="s">
        <v>4</v>
      </c>
      <c r="E15" s="797">
        <v>0.45</v>
      </c>
      <c r="F15" s="790">
        <f t="shared" si="0"/>
        <v>403.2</v>
      </c>
      <c r="G15" s="763"/>
      <c r="H15" s="763"/>
      <c r="I15" s="763"/>
      <c r="J15" s="763"/>
    </row>
    <row r="16" spans="1:11" ht="12.75" customHeight="1" thickBot="1">
      <c r="A16" s="792">
        <v>371</v>
      </c>
      <c r="B16" s="787" t="s">
        <v>225</v>
      </c>
      <c r="C16" s="793">
        <f>ROUNDUP(J11,1)</f>
        <v>224</v>
      </c>
      <c r="D16" s="789" t="s">
        <v>32</v>
      </c>
      <c r="E16" s="782">
        <v>0.35</v>
      </c>
      <c r="F16" s="790">
        <f t="shared" si="0"/>
        <v>78.39999999999999</v>
      </c>
      <c r="G16" s="763"/>
      <c r="H16" s="1185" t="s">
        <v>579</v>
      </c>
      <c r="I16" s="1186"/>
      <c r="J16" s="774">
        <f>J9-1.4</f>
        <v>0.8000000000000003</v>
      </c>
      <c r="K16" s="765" t="s">
        <v>580</v>
      </c>
    </row>
    <row r="17" spans="1:11" ht="26.25" thickBot="1">
      <c r="A17" s="792" t="s">
        <v>31</v>
      </c>
      <c r="B17" s="787" t="s">
        <v>581</v>
      </c>
      <c r="C17" s="788">
        <f>0.8*1.2*0.1</f>
        <v>0.096</v>
      </c>
      <c r="D17" s="789" t="s">
        <v>9</v>
      </c>
      <c r="E17" s="782">
        <v>353.6</v>
      </c>
      <c r="F17" s="790">
        <f t="shared" si="0"/>
        <v>33.945600000000006</v>
      </c>
      <c r="G17" s="763"/>
      <c r="H17" s="1181" t="s">
        <v>582</v>
      </c>
      <c r="I17" s="1182"/>
      <c r="J17" s="784">
        <f>J16*4*O13</f>
        <v>460.8000000000002</v>
      </c>
      <c r="K17" s="785" t="s">
        <v>583</v>
      </c>
    </row>
    <row r="18" spans="1:11" ht="12.75" customHeight="1" thickBot="1">
      <c r="A18" s="792">
        <v>34</v>
      </c>
      <c r="B18" s="787" t="s">
        <v>221</v>
      </c>
      <c r="C18" s="793">
        <v>13</v>
      </c>
      <c r="D18" s="789" t="s">
        <v>32</v>
      </c>
      <c r="E18" s="782">
        <v>3.66</v>
      </c>
      <c r="F18" s="790">
        <f t="shared" si="0"/>
        <v>47.58</v>
      </c>
      <c r="G18" s="763"/>
      <c r="H18" s="1181" t="s">
        <v>584</v>
      </c>
      <c r="I18" s="1182"/>
      <c r="J18" s="784">
        <f>C19*0.25</f>
        <v>115.25</v>
      </c>
      <c r="K18" s="785" t="s">
        <v>573</v>
      </c>
    </row>
    <row r="19" spans="1:10" ht="12.75" customHeight="1">
      <c r="A19" s="794">
        <v>7258</v>
      </c>
      <c r="B19" s="795" t="s">
        <v>224</v>
      </c>
      <c r="C19" s="796">
        <f>ROUNDUP(J17,0)</f>
        <v>461</v>
      </c>
      <c r="D19" s="789" t="s">
        <v>4</v>
      </c>
      <c r="E19" s="782">
        <v>0.45</v>
      </c>
      <c r="F19" s="790">
        <f t="shared" si="0"/>
        <v>207.45000000000002</v>
      </c>
      <c r="G19" s="763"/>
      <c r="H19" s="798"/>
      <c r="I19" s="798"/>
      <c r="J19" s="799"/>
    </row>
    <row r="20" spans="1:10" ht="12.75" customHeight="1">
      <c r="A20" s="792">
        <v>371</v>
      </c>
      <c r="B20" s="787" t="s">
        <v>225</v>
      </c>
      <c r="C20" s="793">
        <f>ROUNDUP(J18,1)</f>
        <v>115.3</v>
      </c>
      <c r="D20" s="789" t="s">
        <v>32</v>
      </c>
      <c r="E20" s="782">
        <v>0.35</v>
      </c>
      <c r="F20" s="790">
        <f t="shared" si="0"/>
        <v>40.355</v>
      </c>
      <c r="G20" s="763"/>
      <c r="H20" s="798"/>
      <c r="I20" s="798"/>
      <c r="J20" s="799"/>
    </row>
    <row r="21" spans="1:10" ht="25.5">
      <c r="A21" s="792" t="s">
        <v>31</v>
      </c>
      <c r="B21" s="800" t="s">
        <v>585</v>
      </c>
      <c r="C21" s="788">
        <f>(1.2*1.2*0.15)-(PI()*(((0.6/2)^2)*0.15))</f>
        <v>0.1735884991765378</v>
      </c>
      <c r="D21" s="789" t="s">
        <v>9</v>
      </c>
      <c r="E21" s="782">
        <v>353.6</v>
      </c>
      <c r="F21" s="790">
        <f t="shared" si="0"/>
        <v>61.380893308823765</v>
      </c>
      <c r="G21" s="763"/>
      <c r="H21" s="763"/>
      <c r="I21" s="763"/>
      <c r="J21" s="763"/>
    </row>
    <row r="22" spans="1:10" ht="12.75">
      <c r="A22" s="792">
        <v>34</v>
      </c>
      <c r="B22" s="787" t="s">
        <v>221</v>
      </c>
      <c r="C22" s="793">
        <v>19</v>
      </c>
      <c r="D22" s="789" t="s">
        <v>32</v>
      </c>
      <c r="E22" s="782">
        <v>3.66</v>
      </c>
      <c r="F22" s="790">
        <f t="shared" si="0"/>
        <v>69.54</v>
      </c>
      <c r="G22" s="763"/>
      <c r="H22" s="763"/>
      <c r="I22" s="763"/>
      <c r="J22" s="763"/>
    </row>
    <row r="23" spans="1:10" ht="12.75">
      <c r="A23" s="801">
        <v>21090</v>
      </c>
      <c r="B23" s="795" t="s">
        <v>586</v>
      </c>
      <c r="C23" s="802">
        <v>1</v>
      </c>
      <c r="D23" s="772" t="s">
        <v>4</v>
      </c>
      <c r="E23" s="782">
        <v>563.92</v>
      </c>
      <c r="F23" s="803">
        <f t="shared" si="0"/>
        <v>563.92</v>
      </c>
      <c r="G23" s="763"/>
      <c r="H23" s="763"/>
      <c r="I23" s="763"/>
      <c r="J23" s="763"/>
    </row>
    <row r="24" spans="1:10" ht="12.75">
      <c r="A24" s="794"/>
      <c r="B24" s="795"/>
      <c r="C24" s="802"/>
      <c r="D24" s="772"/>
      <c r="E24" s="804"/>
      <c r="F24" s="805">
        <f t="shared" si="0"/>
        <v>0</v>
      </c>
      <c r="G24" s="763"/>
      <c r="H24" s="763"/>
      <c r="I24" s="763"/>
      <c r="J24" s="763"/>
    </row>
    <row r="25" spans="1:10" ht="13.5" thickBot="1">
      <c r="A25" s="844"/>
      <c r="B25" s="588"/>
      <c r="C25" s="806"/>
      <c r="D25" s="588"/>
      <c r="E25" s="807"/>
      <c r="F25" s="808">
        <f t="shared" si="0"/>
        <v>0</v>
      </c>
      <c r="G25" s="763"/>
      <c r="H25" s="763"/>
      <c r="I25" s="763"/>
      <c r="J25" s="763"/>
    </row>
    <row r="26" spans="1:10" ht="12.75">
      <c r="A26" s="1183" t="s">
        <v>33</v>
      </c>
      <c r="B26" s="1184"/>
      <c r="C26" s="1184"/>
      <c r="D26" s="1184"/>
      <c r="E26" s="1184"/>
      <c r="F26" s="809">
        <f>SUM(F11:F25)</f>
        <v>1931.0077233088236</v>
      </c>
      <c r="G26" s="763"/>
      <c r="H26" s="763"/>
      <c r="I26" s="763"/>
      <c r="J26" s="763"/>
    </row>
    <row r="27" spans="1:10" ht="12.75">
      <c r="A27" s="1175"/>
      <c r="B27" s="1176"/>
      <c r="C27" s="1176"/>
      <c r="D27" s="1176"/>
      <c r="E27" s="1176"/>
      <c r="F27" s="1177"/>
      <c r="G27" s="763"/>
      <c r="H27" s="763"/>
      <c r="I27" s="763"/>
      <c r="J27" s="763"/>
    </row>
    <row r="28" spans="1:10" ht="12.75">
      <c r="A28" s="801" t="s">
        <v>0</v>
      </c>
      <c r="B28" s="770" t="s">
        <v>14</v>
      </c>
      <c r="C28" s="770" t="s">
        <v>27</v>
      </c>
      <c r="D28" s="770" t="s">
        <v>28</v>
      </c>
      <c r="E28" s="770" t="s">
        <v>29</v>
      </c>
      <c r="F28" s="771" t="s">
        <v>30</v>
      </c>
      <c r="G28" s="763"/>
      <c r="H28" s="763"/>
      <c r="I28" s="763"/>
      <c r="J28" s="763"/>
    </row>
    <row r="29" spans="1:10" ht="12.75">
      <c r="A29" s="810"/>
      <c r="B29" s="811" t="s">
        <v>34</v>
      </c>
      <c r="C29" s="812">
        <v>1.1</v>
      </c>
      <c r="D29" s="813" t="s">
        <v>215</v>
      </c>
      <c r="E29" s="812">
        <v>0.78</v>
      </c>
      <c r="F29" s="814">
        <f>C29*E29</f>
        <v>0.8580000000000001</v>
      </c>
      <c r="G29" s="763" t="s">
        <v>226</v>
      </c>
      <c r="H29" s="763"/>
      <c r="I29" s="763"/>
      <c r="J29" s="763"/>
    </row>
    <row r="30" spans="1:10" ht="12.75">
      <c r="A30" s="815"/>
      <c r="B30" s="816"/>
      <c r="C30" s="817"/>
      <c r="D30" s="818"/>
      <c r="E30" s="817"/>
      <c r="F30" s="819">
        <f>C30*E30</f>
        <v>0</v>
      </c>
      <c r="G30" s="763"/>
      <c r="H30" s="763"/>
      <c r="I30" s="763"/>
      <c r="J30" s="763"/>
    </row>
    <row r="31" spans="1:10" ht="12.75">
      <c r="A31" s="514"/>
      <c r="B31" s="515"/>
      <c r="C31" s="820"/>
      <c r="D31" s="515"/>
      <c r="E31" s="820"/>
      <c r="F31" s="821">
        <f>C31*E31</f>
        <v>0</v>
      </c>
      <c r="G31" s="763"/>
      <c r="H31" s="763"/>
      <c r="I31" s="763"/>
      <c r="J31" s="763"/>
    </row>
    <row r="32" spans="1:10" ht="12.75">
      <c r="A32" s="514"/>
      <c r="B32" s="515"/>
      <c r="C32" s="820"/>
      <c r="D32" s="515"/>
      <c r="E32" s="820"/>
      <c r="F32" s="821">
        <f>C32*E32</f>
        <v>0</v>
      </c>
      <c r="G32" s="763"/>
      <c r="H32" s="763"/>
      <c r="I32" s="763"/>
      <c r="J32" s="763"/>
    </row>
    <row r="33" spans="1:10" ht="12.75">
      <c r="A33" s="822"/>
      <c r="B33" s="823"/>
      <c r="C33" s="824"/>
      <c r="D33" s="823"/>
      <c r="E33" s="824"/>
      <c r="F33" s="825">
        <f>C33*E33</f>
        <v>0</v>
      </c>
      <c r="G33" s="763"/>
      <c r="H33" s="763"/>
      <c r="I33" s="763"/>
      <c r="J33" s="763"/>
    </row>
    <row r="34" spans="1:10" ht="12.75">
      <c r="A34" s="1175" t="s">
        <v>35</v>
      </c>
      <c r="B34" s="1176"/>
      <c r="C34" s="1176"/>
      <c r="D34" s="1176"/>
      <c r="E34" s="1176"/>
      <c r="F34" s="805">
        <f>SUM(F29:F33)</f>
        <v>0.8580000000000001</v>
      </c>
      <c r="G34" s="763"/>
      <c r="H34" s="763"/>
      <c r="I34" s="763"/>
      <c r="J34" s="763"/>
    </row>
    <row r="35" spans="1:10" ht="12.75">
      <c r="A35" s="1175"/>
      <c r="B35" s="1176"/>
      <c r="C35" s="1176"/>
      <c r="D35" s="1176"/>
      <c r="E35" s="1176"/>
      <c r="F35" s="1177"/>
      <c r="G35" s="763"/>
      <c r="H35" s="763"/>
      <c r="I35" s="763"/>
      <c r="J35" s="763"/>
    </row>
    <row r="36" spans="1:10" ht="13.5" thickBot="1">
      <c r="A36" s="775" t="s">
        <v>0</v>
      </c>
      <c r="B36" s="776" t="s">
        <v>36</v>
      </c>
      <c r="C36" s="776" t="s">
        <v>27</v>
      </c>
      <c r="D36" s="776" t="s">
        <v>28</v>
      </c>
      <c r="E36" s="776" t="s">
        <v>29</v>
      </c>
      <c r="F36" s="777" t="s">
        <v>30</v>
      </c>
      <c r="G36" s="763"/>
      <c r="H36" s="763"/>
      <c r="I36" s="763"/>
      <c r="J36" s="763"/>
    </row>
    <row r="37" spans="1:10" ht="12.75">
      <c r="A37" s="826">
        <v>6127</v>
      </c>
      <c r="B37" s="827" t="s">
        <v>37</v>
      </c>
      <c r="C37" s="828">
        <f>ROUND(5.2*1.5*1.8,1)</f>
        <v>14</v>
      </c>
      <c r="D37" s="829" t="s">
        <v>215</v>
      </c>
      <c r="E37" s="830">
        <v>9.56</v>
      </c>
      <c r="F37" s="831">
        <f>C37*E37</f>
        <v>133.84</v>
      </c>
      <c r="G37" s="763"/>
      <c r="H37" s="763" t="s">
        <v>227</v>
      </c>
      <c r="I37" s="763" t="s">
        <v>587</v>
      </c>
      <c r="J37" s="763"/>
    </row>
    <row r="38" spans="1:10" ht="12.75">
      <c r="A38" s="832">
        <v>4750</v>
      </c>
      <c r="B38" s="833" t="s">
        <v>38</v>
      </c>
      <c r="C38" s="834">
        <f>ROUND(5.2*1.5*1.5,1)</f>
        <v>11.7</v>
      </c>
      <c r="D38" s="789" t="s">
        <v>215</v>
      </c>
      <c r="E38" s="835">
        <v>11.79</v>
      </c>
      <c r="F38" s="790">
        <f>C38*E38</f>
        <v>137.94299999999998</v>
      </c>
      <c r="G38" s="763"/>
      <c r="H38" s="763" t="s">
        <v>228</v>
      </c>
      <c r="I38" s="763" t="s">
        <v>588</v>
      </c>
      <c r="J38" s="763"/>
    </row>
    <row r="39" spans="1:10" ht="12.75">
      <c r="A39" s="801"/>
      <c r="B39" s="836"/>
      <c r="C39" s="834"/>
      <c r="D39" s="770"/>
      <c r="E39" s="834"/>
      <c r="F39" s="790">
        <f>C39*E39</f>
        <v>0</v>
      </c>
      <c r="G39" s="763"/>
      <c r="H39" s="763"/>
      <c r="I39" s="763"/>
      <c r="J39" s="763"/>
    </row>
    <row r="40" spans="1:10" ht="12.75">
      <c r="A40" s="801"/>
      <c r="B40" s="836"/>
      <c r="C40" s="834"/>
      <c r="D40" s="770"/>
      <c r="E40" s="834"/>
      <c r="F40" s="790">
        <f>C40*E40</f>
        <v>0</v>
      </c>
      <c r="G40" s="763"/>
      <c r="H40" s="763"/>
      <c r="I40" s="763"/>
      <c r="J40" s="763"/>
    </row>
    <row r="41" spans="1:10" ht="13.5" thickBot="1">
      <c r="A41" s="837"/>
      <c r="B41" s="838"/>
      <c r="C41" s="839"/>
      <c r="D41" s="840"/>
      <c r="E41" s="839"/>
      <c r="F41" s="841">
        <f>C41*E41</f>
        <v>0</v>
      </c>
      <c r="G41" s="763"/>
      <c r="H41" s="763"/>
      <c r="I41" s="763"/>
      <c r="J41" s="763"/>
    </row>
    <row r="42" spans="1:10" ht="12.75">
      <c r="A42" s="1183" t="s">
        <v>39</v>
      </c>
      <c r="B42" s="1184"/>
      <c r="C42" s="1184"/>
      <c r="D42" s="1184"/>
      <c r="E42" s="1184"/>
      <c r="F42" s="809">
        <f>SUM(F37:F41)</f>
        <v>271.783</v>
      </c>
      <c r="G42" s="763"/>
      <c r="H42" s="763"/>
      <c r="I42" s="763"/>
      <c r="J42" s="763"/>
    </row>
    <row r="43" spans="1:10" ht="12.75">
      <c r="A43" s="1175"/>
      <c r="B43" s="1176"/>
      <c r="C43" s="1176"/>
      <c r="D43" s="1176"/>
      <c r="E43" s="1176"/>
      <c r="F43" s="1177"/>
      <c r="G43" s="763"/>
      <c r="H43" s="763"/>
      <c r="I43" s="763"/>
      <c r="J43" s="763"/>
    </row>
    <row r="44" spans="1:10" ht="12.75">
      <c r="A44" s="1175" t="s">
        <v>40</v>
      </c>
      <c r="B44" s="1176"/>
      <c r="C44" s="1176"/>
      <c r="D44" s="1176"/>
      <c r="E44" s="1176"/>
      <c r="F44" s="805">
        <f>F42</f>
        <v>271.783</v>
      </c>
      <c r="G44" s="763"/>
      <c r="H44" s="763"/>
      <c r="I44" s="763"/>
      <c r="J44" s="763"/>
    </row>
    <row r="45" spans="1:10" ht="12.75">
      <c r="A45" s="1175"/>
      <c r="B45" s="1176"/>
      <c r="C45" s="1176"/>
      <c r="D45" s="1176"/>
      <c r="E45" s="1176"/>
      <c r="F45" s="1177"/>
      <c r="G45" s="763"/>
      <c r="H45" s="763"/>
      <c r="I45" s="763"/>
      <c r="J45" s="763"/>
    </row>
    <row r="46" spans="1:10" ht="12.75">
      <c r="A46" s="1175"/>
      <c r="B46" s="1176"/>
      <c r="C46" s="1176"/>
      <c r="D46" s="1176"/>
      <c r="E46" s="1176"/>
      <c r="F46" s="1177"/>
      <c r="G46" s="763"/>
      <c r="H46" s="763"/>
      <c r="I46" s="763"/>
      <c r="J46" s="763"/>
    </row>
    <row r="47" spans="1:10" ht="12.75">
      <c r="A47" s="1175" t="s">
        <v>41</v>
      </c>
      <c r="B47" s="1176"/>
      <c r="C47" s="1176"/>
      <c r="D47" s="1176"/>
      <c r="E47" s="1176"/>
      <c r="F47" s="805">
        <f>F44+F34+F26</f>
        <v>2203.6487233088237</v>
      </c>
      <c r="G47" s="763"/>
      <c r="H47" s="763"/>
      <c r="I47" s="763"/>
      <c r="J47" s="763"/>
    </row>
    <row r="48" spans="1:10" ht="12.75">
      <c r="A48" s="1175"/>
      <c r="B48" s="1176"/>
      <c r="C48" s="1176"/>
      <c r="D48" s="1176"/>
      <c r="E48" s="1176"/>
      <c r="F48" s="1177"/>
      <c r="G48" s="763"/>
      <c r="H48" s="763"/>
      <c r="I48" s="763"/>
      <c r="J48" s="763"/>
    </row>
    <row r="49" spans="1:10" ht="12.75">
      <c r="A49" s="1175" t="s">
        <v>42</v>
      </c>
      <c r="B49" s="1176"/>
      <c r="C49" s="1176"/>
      <c r="D49" s="1176"/>
      <c r="E49" s="842">
        <f>'dados de entrada'!B10</f>
        <v>0.2373</v>
      </c>
      <c r="F49" s="805">
        <f>F47*E49</f>
        <v>522.9258420411838</v>
      </c>
      <c r="G49" s="843" t="s">
        <v>229</v>
      </c>
      <c r="H49" s="763"/>
      <c r="I49" s="763"/>
      <c r="J49" s="763"/>
    </row>
    <row r="50" spans="1:10" ht="12.75">
      <c r="A50" s="1175"/>
      <c r="B50" s="1176"/>
      <c r="C50" s="1176"/>
      <c r="D50" s="1176"/>
      <c r="E50" s="1176"/>
      <c r="F50" s="1177"/>
      <c r="G50" s="763"/>
      <c r="H50" s="763"/>
      <c r="I50" s="763"/>
      <c r="J50" s="763"/>
    </row>
    <row r="51" spans="1:10" ht="12.75">
      <c r="A51" s="1175" t="s">
        <v>43</v>
      </c>
      <c r="B51" s="1176"/>
      <c r="C51" s="1176"/>
      <c r="D51" s="1176"/>
      <c r="E51" s="1176"/>
      <c r="F51" s="805">
        <f>F47+F49</f>
        <v>2726.5745653500076</v>
      </c>
      <c r="G51" s="763"/>
      <c r="H51" s="763"/>
      <c r="I51" s="763"/>
      <c r="J51" s="763"/>
    </row>
    <row r="52" spans="1:6" ht="13.5" thickBot="1">
      <c r="A52" s="1178"/>
      <c r="B52" s="1179"/>
      <c r="C52" s="1179"/>
      <c r="D52" s="1179"/>
      <c r="E52" s="1179"/>
      <c r="F52" s="1180"/>
    </row>
  </sheetData>
  <sheetProtection/>
  <mergeCells count="28">
    <mergeCell ref="D1:F1"/>
    <mergeCell ref="A5:F5"/>
    <mergeCell ref="A6:F6"/>
    <mergeCell ref="A7:C7"/>
    <mergeCell ref="D7:E7"/>
    <mergeCell ref="A8:C8"/>
    <mergeCell ref="D8:E8"/>
    <mergeCell ref="A9:F9"/>
    <mergeCell ref="H9:I9"/>
    <mergeCell ref="H10:I10"/>
    <mergeCell ref="H11:I11"/>
    <mergeCell ref="H16:I16"/>
    <mergeCell ref="H17:I17"/>
    <mergeCell ref="H18:I18"/>
    <mergeCell ref="A26:E26"/>
    <mergeCell ref="A27:F27"/>
    <mergeCell ref="A34:E34"/>
    <mergeCell ref="A35:F35"/>
    <mergeCell ref="A42:E42"/>
    <mergeCell ref="A50:F50"/>
    <mergeCell ref="A51:E51"/>
    <mergeCell ref="A52:F52"/>
    <mergeCell ref="A43:F43"/>
    <mergeCell ref="A44:E44"/>
    <mergeCell ref="A45:F46"/>
    <mergeCell ref="A47:E47"/>
    <mergeCell ref="A48:F48"/>
    <mergeCell ref="A49:D49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K33"/>
  <sheetViews>
    <sheetView zoomScalePageLayoutView="0" workbookViewId="0" topLeftCell="A1">
      <selection activeCell="P29" sqref="P29"/>
    </sheetView>
  </sheetViews>
  <sheetFormatPr defaultColWidth="9.140625" defaultRowHeight="12.75"/>
  <cols>
    <col min="1" max="1" width="6.00390625" style="564" bestFit="1" customWidth="1"/>
    <col min="2" max="2" width="65.421875" style="541" customWidth="1"/>
    <col min="3" max="3" width="17.57421875" style="565" customWidth="1"/>
    <col min="4" max="4" width="12.7109375" style="538" bestFit="1" customWidth="1"/>
    <col min="5" max="5" width="6.8515625" style="541" bestFit="1" customWidth="1"/>
    <col min="6" max="6" width="5.7109375" style="541" bestFit="1" customWidth="1"/>
    <col min="7" max="7" width="5.00390625" style="541" customWidth="1"/>
    <col min="8" max="8" width="5.7109375" style="541" bestFit="1" customWidth="1"/>
    <col min="9" max="9" width="9.28125" style="541" bestFit="1" customWidth="1"/>
    <col min="10" max="10" width="8.57421875" style="541" customWidth="1"/>
    <col min="11" max="11" width="9.7109375" style="541" customWidth="1"/>
    <col min="12" max="16384" width="9.140625" style="541" customWidth="1"/>
  </cols>
  <sheetData>
    <row r="1" spans="1:4" s="530" customFormat="1" ht="15.75">
      <c r="A1" s="1209" t="s">
        <v>57</v>
      </c>
      <c r="B1" s="1209"/>
      <c r="C1" s="1209"/>
      <c r="D1" s="529"/>
    </row>
    <row r="2" spans="1:4" s="530" customFormat="1" ht="21" thickBot="1">
      <c r="A2" s="1210" t="str">
        <f>'[1]dados de entrada'!B15</f>
        <v>PREFEITURA MUNICIPAL DE BOMBINHAS</v>
      </c>
      <c r="B2" s="1210"/>
      <c r="C2" s="1210"/>
      <c r="D2" s="529"/>
    </row>
    <row r="3" spans="1:4" s="532" customFormat="1" ht="15.75" thickBot="1">
      <c r="A3" s="1211" t="str">
        <f>'dados de entrada'!B8</f>
        <v>PAVIMENTAÇÃO COM LAJOTAS SEXTAVADAS E DRENAGEM PLUVIAL </v>
      </c>
      <c r="B3" s="1212"/>
      <c r="C3" s="1213"/>
      <c r="D3" s="531"/>
    </row>
    <row r="4" spans="1:4" s="535" customFormat="1" ht="15.75" customHeight="1" thickBot="1">
      <c r="A4" s="1214" t="str">
        <f>'dados de entrada'!C19</f>
        <v>RUA MERGULHÃO CAÇADOR - BAIRRO BOMBAS</v>
      </c>
      <c r="B4" s="1215"/>
      <c r="C4" s="1216"/>
      <c r="D4" s="534"/>
    </row>
    <row r="5" spans="1:9" s="535" customFormat="1" ht="15.75" customHeight="1" thickBot="1">
      <c r="A5" s="533"/>
      <c r="B5" s="536" t="s">
        <v>492</v>
      </c>
      <c r="C5" s="537"/>
      <c r="D5" s="534"/>
      <c r="F5" s="580"/>
      <c r="G5" s="574"/>
      <c r="H5" s="577"/>
      <c r="I5" s="579"/>
    </row>
    <row r="6" spans="1:10" ht="15.75" thickBot="1">
      <c r="A6" s="1217" t="s">
        <v>555</v>
      </c>
      <c r="B6" s="1217"/>
      <c r="C6" s="1217"/>
      <c r="E6" s="539" t="s">
        <v>164</v>
      </c>
      <c r="F6" s="539" t="s">
        <v>165</v>
      </c>
      <c r="G6" s="540" t="s">
        <v>166</v>
      </c>
      <c r="H6" s="539" t="s">
        <v>167</v>
      </c>
      <c r="I6" s="540" t="s">
        <v>168</v>
      </c>
      <c r="J6" s="539" t="s">
        <v>169</v>
      </c>
    </row>
    <row r="7" spans="1:10" ht="16.5" thickBot="1">
      <c r="A7" s="542" t="s">
        <v>170</v>
      </c>
      <c r="B7" s="543" t="s">
        <v>171</v>
      </c>
      <c r="C7" s="544" t="s">
        <v>7</v>
      </c>
      <c r="E7" s="584">
        <f>(((1+(F7/100)+(H7/100))*(1+(G7/100))*(1+(J7/100)))/(1-(I7/100))-1)*100</f>
        <v>23.729997860095374</v>
      </c>
      <c r="F7" s="545">
        <v>4.61</v>
      </c>
      <c r="G7" s="546">
        <v>1.18</v>
      </c>
      <c r="H7" s="545">
        <v>1.68</v>
      </c>
      <c r="I7" s="546">
        <v>5.65</v>
      </c>
      <c r="J7" s="545">
        <v>8.55</v>
      </c>
    </row>
    <row r="8" spans="1:7" ht="12.75">
      <c r="A8" s="547">
        <v>1</v>
      </c>
      <c r="B8" s="548" t="s">
        <v>172</v>
      </c>
      <c r="C8" s="549"/>
      <c r="G8" s="550"/>
    </row>
    <row r="9" spans="1:3" ht="12.75">
      <c r="A9" s="551" t="s">
        <v>8</v>
      </c>
      <c r="B9" s="552" t="s">
        <v>173</v>
      </c>
      <c r="C9" s="581">
        <v>0.02</v>
      </c>
    </row>
    <row r="10" spans="1:3" ht="12.75">
      <c r="A10" s="551" t="s">
        <v>163</v>
      </c>
      <c r="B10" s="552" t="s">
        <v>174</v>
      </c>
      <c r="C10" s="581">
        <v>0.0111</v>
      </c>
    </row>
    <row r="11" spans="1:3" ht="12.75">
      <c r="A11" s="553" t="s">
        <v>175</v>
      </c>
      <c r="B11" s="552" t="s">
        <v>176</v>
      </c>
      <c r="C11" s="581">
        <v>0.015</v>
      </c>
    </row>
    <row r="12" spans="1:4" s="538" customFormat="1" ht="13.5" thickBot="1">
      <c r="A12" s="554"/>
      <c r="B12" s="555" t="s">
        <v>177</v>
      </c>
      <c r="C12" s="582">
        <f>SUM(C9:C11)</f>
        <v>0.0461</v>
      </c>
      <c r="D12" s="538" t="s">
        <v>493</v>
      </c>
    </row>
    <row r="13" spans="1:11" ht="12.75">
      <c r="A13" s="547">
        <v>2</v>
      </c>
      <c r="B13" s="548" t="s">
        <v>178</v>
      </c>
      <c r="C13" s="583"/>
      <c r="I13" s="578" t="s">
        <v>499</v>
      </c>
      <c r="J13" s="578" t="s">
        <v>500</v>
      </c>
      <c r="K13" s="578" t="s">
        <v>501</v>
      </c>
    </row>
    <row r="14" spans="1:11" ht="12.75">
      <c r="A14" s="553" t="s">
        <v>47</v>
      </c>
      <c r="B14" s="556" t="s">
        <v>179</v>
      </c>
      <c r="C14" s="581">
        <v>0.0118</v>
      </c>
      <c r="D14" s="538" t="s">
        <v>494</v>
      </c>
      <c r="I14" s="560">
        <v>0.0065</v>
      </c>
      <c r="J14" s="560">
        <v>0.03</v>
      </c>
      <c r="K14" s="560">
        <v>0.02</v>
      </c>
    </row>
    <row r="15" spans="1:4" ht="12.75">
      <c r="A15" s="557" t="s">
        <v>48</v>
      </c>
      <c r="B15" s="558" t="s">
        <v>495</v>
      </c>
      <c r="C15" s="581">
        <v>0.0074</v>
      </c>
      <c r="D15" s="575" t="s">
        <v>496</v>
      </c>
    </row>
    <row r="16" spans="1:6" ht="12.75">
      <c r="A16" s="557" t="s">
        <v>49</v>
      </c>
      <c r="B16" s="559" t="s">
        <v>180</v>
      </c>
      <c r="C16" s="581">
        <v>0.0094</v>
      </c>
      <c r="D16" s="575" t="s">
        <v>497</v>
      </c>
      <c r="E16" s="576">
        <f>C16+C15</f>
        <v>0.016800000000000002</v>
      </c>
      <c r="F16" s="550" t="s">
        <v>167</v>
      </c>
    </row>
    <row r="17" spans="1:3" s="538" customFormat="1" ht="13.5" thickBot="1">
      <c r="A17" s="554"/>
      <c r="B17" s="555" t="s">
        <v>177</v>
      </c>
      <c r="C17" s="582">
        <f>SUM(C14:C16)</f>
        <v>0.0286</v>
      </c>
    </row>
    <row r="18" spans="1:9" ht="12.75">
      <c r="A18" s="547">
        <v>3</v>
      </c>
      <c r="B18" s="548" t="s">
        <v>181</v>
      </c>
      <c r="C18" s="583"/>
      <c r="I18" s="573"/>
    </row>
    <row r="19" spans="1:3" ht="12.75">
      <c r="A19" s="553" t="s">
        <v>52</v>
      </c>
      <c r="B19" s="556" t="s">
        <v>182</v>
      </c>
      <c r="C19" s="581">
        <v>0.0565</v>
      </c>
    </row>
    <row r="20" spans="1:3" s="538" customFormat="1" ht="13.5" thickBot="1">
      <c r="A20" s="554"/>
      <c r="B20" s="555" t="s">
        <v>177</v>
      </c>
      <c r="C20" s="582">
        <f>C19</f>
        <v>0.0565</v>
      </c>
    </row>
    <row r="21" spans="1:3" ht="12.75">
      <c r="A21" s="547">
        <v>4</v>
      </c>
      <c r="B21" s="548" t="s">
        <v>183</v>
      </c>
      <c r="C21" s="583"/>
    </row>
    <row r="22" spans="1:3" ht="12.75">
      <c r="A22" s="553" t="s">
        <v>142</v>
      </c>
      <c r="B22" s="552" t="s">
        <v>184</v>
      </c>
      <c r="C22" s="581">
        <v>0.0855</v>
      </c>
    </row>
    <row r="23" spans="1:4" s="538" customFormat="1" ht="13.5" thickBot="1">
      <c r="A23" s="554"/>
      <c r="B23" s="555" t="s">
        <v>177</v>
      </c>
      <c r="C23" s="582">
        <f>C22</f>
        <v>0.0855</v>
      </c>
      <c r="D23" s="538" t="s">
        <v>498</v>
      </c>
    </row>
    <row r="24" spans="1:4" s="563" customFormat="1" ht="15.75" thickBot="1">
      <c r="A24" s="1218" t="s">
        <v>185</v>
      </c>
      <c r="B24" s="1219"/>
      <c r="C24" s="561">
        <v>0.2373</v>
      </c>
      <c r="D24" s="562"/>
    </row>
    <row r="25" ht="13.5" thickBot="1"/>
    <row r="26" spans="1:3" ht="12.75">
      <c r="A26" s="1200" t="s">
        <v>186</v>
      </c>
      <c r="B26" s="1201"/>
      <c r="C26" s="1202"/>
    </row>
    <row r="27" spans="1:4" s="567" customFormat="1" ht="12">
      <c r="A27" s="1203" t="s">
        <v>187</v>
      </c>
      <c r="B27" s="1204"/>
      <c r="C27" s="1205"/>
      <c r="D27" s="566"/>
    </row>
    <row r="28" spans="1:4" s="567" customFormat="1" ht="12.75">
      <c r="A28" s="1206"/>
      <c r="B28" s="1207"/>
      <c r="C28" s="1208"/>
      <c r="D28" s="566"/>
    </row>
    <row r="29" spans="1:4" s="567" customFormat="1" ht="12.75">
      <c r="A29" s="1206"/>
      <c r="B29" s="1207"/>
      <c r="C29" s="1208"/>
      <c r="D29" s="566"/>
    </row>
    <row r="30" spans="1:3" ht="12.75">
      <c r="A30" s="1206"/>
      <c r="B30" s="1207"/>
      <c r="C30" s="1208"/>
    </row>
    <row r="31" spans="1:3" ht="12.75">
      <c r="A31" s="1206" t="s">
        <v>188</v>
      </c>
      <c r="B31" s="1207"/>
      <c r="C31" s="1208"/>
    </row>
    <row r="32" spans="1:5" ht="15">
      <c r="A32" s="1194" t="str">
        <f>'[1]dados de entrada'!C24</f>
        <v>Carlos Alberto Bley  </v>
      </c>
      <c r="B32" s="1195"/>
      <c r="C32" s="1196"/>
      <c r="D32" s="568"/>
      <c r="E32" s="569"/>
    </row>
    <row r="33" spans="1:5" ht="13.5" thickBot="1">
      <c r="A33" s="1197" t="str">
        <f>'[1]dados de entrada'!B17</f>
        <v>Engenheiro Civil - CREA SC 8.333-3</v>
      </c>
      <c r="B33" s="1198"/>
      <c r="C33" s="1199"/>
      <c r="D33" s="570"/>
      <c r="E33" s="569"/>
    </row>
  </sheetData>
  <sheetProtection/>
  <mergeCells count="14">
    <mergeCell ref="A1:C1"/>
    <mergeCell ref="A2:C2"/>
    <mergeCell ref="A3:C3"/>
    <mergeCell ref="A4:C4"/>
    <mergeCell ref="A6:C6"/>
    <mergeCell ref="A24:B24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2362204724409449" right="0.2362204724409449" top="0.82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0"/>
  <sheetViews>
    <sheetView showGridLines="0" zoomScalePageLayoutView="0" workbookViewId="0" topLeftCell="A1">
      <selection activeCell="F11" sqref="F11"/>
    </sheetView>
  </sheetViews>
  <sheetFormatPr defaultColWidth="9.140625" defaultRowHeight="12.75"/>
  <cols>
    <col min="1" max="1" width="3.140625" style="694" customWidth="1"/>
    <col min="2" max="2" width="90.140625" style="694" customWidth="1"/>
    <col min="3" max="6" width="12.8515625" style="694" customWidth="1"/>
    <col min="7" max="7" width="9.140625" style="694" hidden="1" customWidth="1"/>
    <col min="8" max="8" width="6.421875" style="694" customWidth="1"/>
    <col min="9" max="9" width="3.421875" style="694" customWidth="1"/>
    <col min="10" max="10" width="9.57421875" style="694" customWidth="1"/>
    <col min="11" max="11" width="9.7109375" style="694" customWidth="1"/>
    <col min="12" max="16384" width="9.140625" style="694" customWidth="1"/>
  </cols>
  <sheetData>
    <row r="1" ht="71.25" customHeight="1"/>
    <row r="2" spans="2:11" ht="15">
      <c r="B2" s="695" t="s">
        <v>516</v>
      </c>
      <c r="C2" s="696"/>
      <c r="D2" s="696"/>
      <c r="E2" s="696"/>
      <c r="F2" s="696"/>
      <c r="G2" s="696"/>
      <c r="H2" s="696"/>
      <c r="I2" s="696"/>
      <c r="J2" s="696"/>
      <c r="K2" s="696"/>
    </row>
    <row r="3" ht="15">
      <c r="B3" s="697" t="s">
        <v>517</v>
      </c>
    </row>
    <row r="4" ht="4.5" customHeight="1"/>
    <row r="5" spans="2:11" ht="15.75">
      <c r="B5" s="698">
        <v>2</v>
      </c>
      <c r="C5" s="699" t="s">
        <v>518</v>
      </c>
      <c r="D5" s="699" t="s">
        <v>519</v>
      </c>
      <c r="E5" s="699" t="s">
        <v>520</v>
      </c>
      <c r="F5" s="700" t="s">
        <v>521</v>
      </c>
      <c r="G5" s="701"/>
      <c r="H5" s="702"/>
      <c r="I5" s="703"/>
      <c r="J5" s="703"/>
      <c r="K5" s="703"/>
    </row>
    <row r="6" spans="2:11" ht="15">
      <c r="B6" s="694" t="s">
        <v>522</v>
      </c>
      <c r="C6" s="704">
        <f>VLOOKUP($B$5,$H$52:$K$57,2,0)</f>
        <v>3.8</v>
      </c>
      <c r="D6" s="704">
        <f>VLOOKUP($B$5,$H$52:$K$57,3,0)</f>
        <v>4.01</v>
      </c>
      <c r="E6" s="704">
        <f>VLOOKUP($B$5,$H$52:$K$57,4,0)</f>
        <v>4.67</v>
      </c>
      <c r="F6" s="705">
        <v>4.61</v>
      </c>
      <c r="G6" s="706">
        <f aca="true" t="shared" si="0" ref="G6:G11">F6/100</f>
        <v>0.0461</v>
      </c>
      <c r="H6" s="707">
        <f>IF(OR(F6&lt;C6,F6&gt;E6),1,0)</f>
        <v>0</v>
      </c>
      <c r="I6" s="703"/>
      <c r="J6" s="703"/>
      <c r="K6" s="703"/>
    </row>
    <row r="7" spans="2:11" ht="15">
      <c r="B7" s="694" t="s">
        <v>523</v>
      </c>
      <c r="C7" s="708">
        <f>VLOOKUP($B$5,$H$82:$K$87,2,0)</f>
        <v>1.02</v>
      </c>
      <c r="D7" s="708">
        <f>VLOOKUP($B$5,$H$82:$K$87,3,0)</f>
        <v>1.11</v>
      </c>
      <c r="E7" s="708">
        <f>VLOOKUP($B$5,$H$82:$K$87,4,0)</f>
        <v>1.21</v>
      </c>
      <c r="F7" s="709">
        <v>1.18</v>
      </c>
      <c r="G7" s="710">
        <f t="shared" si="0"/>
        <v>0.0118</v>
      </c>
      <c r="H7" s="707">
        <f aca="true" t="shared" si="1" ref="H7:H13">IF(OR(F7&lt;C7,F7&gt;E7),1,0)</f>
        <v>0</v>
      </c>
      <c r="I7" s="1227" t="s">
        <v>524</v>
      </c>
      <c r="J7" s="1228"/>
      <c r="K7" s="1228"/>
    </row>
    <row r="8" spans="2:11" ht="15">
      <c r="B8" s="694" t="s">
        <v>525</v>
      </c>
      <c r="C8" s="708">
        <f>VLOOKUP($B$5,$H$72:$K$77,2,0)</f>
        <v>0.5</v>
      </c>
      <c r="D8" s="708">
        <f>VLOOKUP($B$5,$H$72:$K$77,3,0)</f>
        <v>0.56</v>
      </c>
      <c r="E8" s="708">
        <f>VLOOKUP($B$5,$H$72:$K$77,4,0)</f>
        <v>0.97</v>
      </c>
      <c r="F8" s="709">
        <v>0.94</v>
      </c>
      <c r="G8" s="710">
        <f t="shared" si="0"/>
        <v>0.009399999999999999</v>
      </c>
      <c r="H8" s="707">
        <f t="shared" si="1"/>
        <v>0</v>
      </c>
      <c r="I8" s="711"/>
      <c r="J8" s="1229" t="s">
        <v>526</v>
      </c>
      <c r="K8" s="1230"/>
    </row>
    <row r="9" spans="2:14" ht="15">
      <c r="B9" s="694" t="s">
        <v>495</v>
      </c>
      <c r="C9" s="708">
        <f>VLOOKUP($B$5,$H$62:$K$67,2,0)</f>
        <v>0.32</v>
      </c>
      <c r="D9" s="708">
        <f>VLOOKUP($B$5,$H$62:$K$67,3,0)</f>
        <v>0.4</v>
      </c>
      <c r="E9" s="708">
        <f>VLOOKUP($B$5,$H$62:$K$67,4,0)</f>
        <v>0.74</v>
      </c>
      <c r="F9" s="709">
        <v>0.74</v>
      </c>
      <c r="G9" s="710">
        <f t="shared" si="0"/>
        <v>0.0074</v>
      </c>
      <c r="H9" s="707">
        <f t="shared" si="1"/>
        <v>0</v>
      </c>
      <c r="I9" s="712"/>
      <c r="J9" s="1229" t="s">
        <v>527</v>
      </c>
      <c r="K9" s="1230"/>
      <c r="L9" s="713"/>
      <c r="M9" s="713"/>
      <c r="N9" s="713"/>
    </row>
    <row r="10" spans="2:11" ht="15">
      <c r="B10" s="694" t="s">
        <v>528</v>
      </c>
      <c r="C10" s="708">
        <f>VLOOKUP($B$5,$H$92:$K$97,2,0)</f>
        <v>6.64</v>
      </c>
      <c r="D10" s="708">
        <f>VLOOKUP($B$5,$H$92:$K$97,3,0)</f>
        <v>7.3</v>
      </c>
      <c r="E10" s="708">
        <f>VLOOKUP($B$5,$H$92:$K$97,4,0)</f>
        <v>8.69</v>
      </c>
      <c r="F10" s="709">
        <v>8.55</v>
      </c>
      <c r="G10" s="710">
        <f t="shared" si="0"/>
        <v>0.0855</v>
      </c>
      <c r="H10" s="707">
        <f t="shared" si="1"/>
        <v>0</v>
      </c>
      <c r="I10" s="714"/>
      <c r="J10" s="1229" t="s">
        <v>529</v>
      </c>
      <c r="K10" s="1230"/>
    </row>
    <row r="11" spans="2:11" ht="15">
      <c r="B11" s="694" t="s">
        <v>530</v>
      </c>
      <c r="C11" s="708">
        <v>5.65</v>
      </c>
      <c r="D11" s="715">
        <f>(C11+E11)/2</f>
        <v>7.15</v>
      </c>
      <c r="E11" s="708">
        <v>8.65</v>
      </c>
      <c r="F11" s="716">
        <f>+F13+F14+F15</f>
        <v>5.65</v>
      </c>
      <c r="G11" s="710">
        <f t="shared" si="0"/>
        <v>0.0565</v>
      </c>
      <c r="H11" s="707">
        <f t="shared" si="1"/>
        <v>0</v>
      </c>
      <c r="I11" s="717"/>
      <c r="J11" s="717"/>
      <c r="K11" s="717"/>
    </row>
    <row r="12" spans="3:11" ht="8.25" customHeight="1">
      <c r="C12" s="718"/>
      <c r="D12" s="718"/>
      <c r="E12" s="718"/>
      <c r="F12" s="718"/>
      <c r="G12" s="719"/>
      <c r="H12" s="720"/>
      <c r="I12" s="703"/>
      <c r="J12" s="703"/>
      <c r="K12" s="703"/>
    </row>
    <row r="13" spans="2:11" ht="15">
      <c r="B13" s="721" t="s">
        <v>501</v>
      </c>
      <c r="C13" s="722">
        <v>2</v>
      </c>
      <c r="D13" s="708"/>
      <c r="E13" s="708">
        <v>5</v>
      </c>
      <c r="F13" s="723">
        <v>2</v>
      </c>
      <c r="G13" s="718"/>
      <c r="H13" s="707">
        <f t="shared" si="1"/>
        <v>0</v>
      </c>
      <c r="I13" s="703"/>
      <c r="J13" s="703"/>
      <c r="K13" s="703"/>
    </row>
    <row r="14" spans="2:14" ht="15.75">
      <c r="B14" s="721" t="s">
        <v>499</v>
      </c>
      <c r="C14" s="724"/>
      <c r="D14" s="708">
        <v>0.65</v>
      </c>
      <c r="E14" s="708"/>
      <c r="F14" s="723">
        <v>0.65</v>
      </c>
      <c r="G14" s="718"/>
      <c r="H14" s="720"/>
      <c r="I14" s="725"/>
      <c r="J14" s="725"/>
      <c r="K14" s="725"/>
      <c r="L14" s="726"/>
      <c r="M14" s="726"/>
      <c r="N14" s="726"/>
    </row>
    <row r="15" spans="2:11" ht="15">
      <c r="B15" s="721" t="s">
        <v>500</v>
      </c>
      <c r="C15" s="727"/>
      <c r="D15" s="728">
        <v>3</v>
      </c>
      <c r="E15" s="728"/>
      <c r="F15" s="729">
        <v>3</v>
      </c>
      <c r="G15" s="730"/>
      <c r="H15" s="720"/>
      <c r="I15" s="703"/>
      <c r="J15" s="703"/>
      <c r="K15" s="703"/>
    </row>
    <row r="16" spans="2:12" ht="15">
      <c r="B16" s="713"/>
      <c r="C16" s="731"/>
      <c r="D16" s="732"/>
      <c r="E16" s="732"/>
      <c r="F16" s="732"/>
      <c r="G16" s="732"/>
      <c r="H16" s="733">
        <f>SUM(H6:H15)</f>
        <v>0</v>
      </c>
      <c r="I16" s="703"/>
      <c r="J16" s="703"/>
      <c r="K16" s="703"/>
      <c r="L16" s="703"/>
    </row>
    <row r="17" spans="2:7" ht="15">
      <c r="B17" s="734"/>
      <c r="C17" s="735" t="s">
        <v>531</v>
      </c>
      <c r="D17" s="735" t="s">
        <v>519</v>
      </c>
      <c r="E17" s="735" t="s">
        <v>532</v>
      </c>
      <c r="F17" s="732"/>
      <c r="G17" s="732"/>
    </row>
    <row r="18" spans="2:11" ht="15.75">
      <c r="B18" s="736" t="str">
        <f>VLOOKUP($B$5,$A$42:$E$47,2,0)</f>
        <v>Construção de Rodovias e Ferrovias</v>
      </c>
      <c r="C18" s="737">
        <f>VLOOKUP($B$5,$A$42:$E$47,3,0)*100</f>
        <v>19.6</v>
      </c>
      <c r="D18" s="737">
        <f>VLOOKUP($B$5,$A$42:$E$47,4,0)*100</f>
        <v>20.97</v>
      </c>
      <c r="E18" s="737">
        <f>VLOOKUP($B$5,$A$42:$E$47,5,0)*100</f>
        <v>24.23</v>
      </c>
      <c r="F18" s="738">
        <f>G18*100</f>
        <v>23.7299978600954</v>
      </c>
      <c r="G18" s="739">
        <f>((((1+G6+G9+G8)*(1+G7)*(1+G10))/(1-G11))-1)</f>
        <v>0.23729997860095398</v>
      </c>
      <c r="H18" s="1231" t="str">
        <f>IF(H16&gt;0,"ERRO - REVISAR VALORES",IF(F18&gt;E18,"Valor acima do limite",IF(F18&lt;C18,"Valor abaixo do limite"," ok !!!")))</f>
        <v> ok !!!</v>
      </c>
      <c r="I18" s="1232"/>
      <c r="J18" s="1232"/>
      <c r="K18" s="1233"/>
    </row>
    <row r="20" spans="2:11" ht="33.75" customHeight="1">
      <c r="B20" s="1234" t="s">
        <v>533</v>
      </c>
      <c r="C20" s="1234"/>
      <c r="D20" s="1234"/>
      <c r="E20" s="1234"/>
      <c r="F20" s="1234"/>
      <c r="G20" s="1234"/>
      <c r="H20" s="1234"/>
      <c r="I20" s="1234"/>
      <c r="J20" s="1234"/>
      <c r="K20" s="1234"/>
    </row>
    <row r="21" spans="2:15" ht="6.75" customHeight="1">
      <c r="B21" s="740"/>
      <c r="C21" s="741"/>
      <c r="D21" s="742"/>
      <c r="E21" s="742"/>
      <c r="F21" s="742"/>
      <c r="G21" s="742"/>
      <c r="H21" s="742"/>
      <c r="I21" s="742"/>
      <c r="J21" s="742"/>
      <c r="K21" s="742"/>
      <c r="L21" s="725"/>
      <c r="M21" s="725"/>
      <c r="N21" s="725"/>
      <c r="O21" s="725"/>
    </row>
    <row r="22" spans="2:11" ht="15.75">
      <c r="B22" s="743" t="s">
        <v>534</v>
      </c>
      <c r="C22" s="744"/>
      <c r="D22" s="744"/>
      <c r="E22" s="744"/>
      <c r="F22" s="744"/>
      <c r="G22" s="744"/>
      <c r="H22" s="744"/>
      <c r="I22" s="744"/>
      <c r="J22" s="744"/>
      <c r="K22" s="744"/>
    </row>
    <row r="23" spans="2:11" ht="7.5" customHeight="1">
      <c r="B23" s="717"/>
      <c r="C23" s="717"/>
      <c r="D23" s="717"/>
      <c r="E23" s="717"/>
      <c r="F23" s="717"/>
      <c r="G23" s="717"/>
      <c r="H23" s="717"/>
      <c r="I23" s="717"/>
      <c r="J23" s="717"/>
      <c r="K23" s="717"/>
    </row>
    <row r="24" spans="2:11" ht="15">
      <c r="B24" s="745" t="s">
        <v>535</v>
      </c>
      <c r="C24" s="717"/>
      <c r="D24" s="717"/>
      <c r="E24" s="717"/>
      <c r="F24" s="717"/>
      <c r="G24" s="717"/>
      <c r="H24" s="717"/>
      <c r="I24" s="717"/>
      <c r="J24" s="717"/>
      <c r="K24" s="717"/>
    </row>
    <row r="25" spans="2:11" ht="15">
      <c r="B25" s="745" t="s">
        <v>536</v>
      </c>
      <c r="C25" s="717"/>
      <c r="D25" s="717"/>
      <c r="E25" s="717"/>
      <c r="F25" s="717"/>
      <c r="G25" s="717"/>
      <c r="H25" s="717"/>
      <c r="I25" s="717"/>
      <c r="J25" s="717"/>
      <c r="K25" s="717"/>
    </row>
    <row r="26" spans="2:11" ht="15">
      <c r="B26" s="745" t="s">
        <v>537</v>
      </c>
      <c r="C26" s="717"/>
      <c r="D26" s="717"/>
      <c r="E26" s="717"/>
      <c r="F26" s="717"/>
      <c r="G26" s="717"/>
      <c r="H26" s="717"/>
      <c r="I26" s="717"/>
      <c r="J26" s="717"/>
      <c r="K26" s="717"/>
    </row>
    <row r="27" spans="2:11" ht="15">
      <c r="B27" s="745" t="s">
        <v>538</v>
      </c>
      <c r="C27" s="717"/>
      <c r="D27" s="717"/>
      <c r="E27" s="717"/>
      <c r="F27" s="717"/>
      <c r="G27" s="717"/>
      <c r="H27" s="717"/>
      <c r="I27" s="717"/>
      <c r="J27" s="717"/>
      <c r="K27" s="717"/>
    </row>
    <row r="28" spans="2:11" ht="15">
      <c r="B28" s="745" t="s">
        <v>539</v>
      </c>
      <c r="C28" s="717"/>
      <c r="D28" s="717"/>
      <c r="E28" s="717"/>
      <c r="F28" s="717"/>
      <c r="G28" s="717"/>
      <c r="H28" s="717"/>
      <c r="I28" s="717"/>
      <c r="J28" s="717"/>
      <c r="K28" s="717"/>
    </row>
    <row r="29" spans="2:11" ht="15">
      <c r="B29" s="745" t="s">
        <v>540</v>
      </c>
      <c r="C29" s="717"/>
      <c r="D29" s="717"/>
      <c r="E29" s="717"/>
      <c r="F29" s="717"/>
      <c r="G29" s="717"/>
      <c r="H29" s="717"/>
      <c r="I29" s="717"/>
      <c r="J29" s="717"/>
      <c r="K29" s="717"/>
    </row>
    <row r="30" spans="2:11" ht="15">
      <c r="B30" s="745" t="s">
        <v>541</v>
      </c>
      <c r="C30" s="717"/>
      <c r="D30" s="717"/>
      <c r="E30" s="717"/>
      <c r="F30" s="717"/>
      <c r="G30" s="717"/>
      <c r="H30" s="717"/>
      <c r="I30" s="717"/>
      <c r="J30" s="717"/>
      <c r="K30" s="717"/>
    </row>
    <row r="31" spans="2:11" ht="15">
      <c r="B31" s="746" t="s">
        <v>542</v>
      </c>
      <c r="C31" s="717"/>
      <c r="D31" s="717"/>
      <c r="E31" s="717"/>
      <c r="F31" s="717"/>
      <c r="G31" s="717"/>
      <c r="H31" s="717"/>
      <c r="I31" s="717"/>
      <c r="J31" s="717"/>
      <c r="K31" s="717"/>
    </row>
    <row r="32" spans="2:11" ht="15">
      <c r="B32" s="717"/>
      <c r="C32" s="717"/>
      <c r="D32" s="717"/>
      <c r="E32" s="717"/>
      <c r="F32" s="717"/>
      <c r="G32" s="717"/>
      <c r="H32" s="717"/>
      <c r="I32" s="717"/>
      <c r="J32" s="717"/>
      <c r="K32" s="747" t="s">
        <v>543</v>
      </c>
    </row>
    <row r="38" ht="15" hidden="1"/>
    <row r="39" ht="15" hidden="1"/>
    <row r="40" spans="2:5" ht="15.75" hidden="1" thickBot="1">
      <c r="B40" s="1221" t="s">
        <v>544</v>
      </c>
      <c r="C40" s="1222"/>
      <c r="D40" s="1222"/>
      <c r="E40" s="1223"/>
    </row>
    <row r="41" spans="2:5" ht="15.75" hidden="1" thickBot="1">
      <c r="B41" s="748" t="s">
        <v>545</v>
      </c>
      <c r="C41" s="749" t="s">
        <v>531</v>
      </c>
      <c r="D41" s="749" t="s">
        <v>519</v>
      </c>
      <c r="E41" s="749" t="s">
        <v>532</v>
      </c>
    </row>
    <row r="42" spans="1:5" ht="15.75" hidden="1" thickBot="1">
      <c r="A42" s="694">
        <v>1</v>
      </c>
      <c r="B42" s="750" t="s">
        <v>546</v>
      </c>
      <c r="C42" s="751">
        <v>0.2034</v>
      </c>
      <c r="D42" s="751">
        <v>0.2212</v>
      </c>
      <c r="E42" s="751">
        <v>0.25</v>
      </c>
    </row>
    <row r="43" spans="1:5" ht="15.75" hidden="1" thickBot="1">
      <c r="A43" s="694">
        <v>2</v>
      </c>
      <c r="B43" s="750" t="s">
        <v>547</v>
      </c>
      <c r="C43" s="751">
        <v>0.196</v>
      </c>
      <c r="D43" s="751">
        <v>0.2097</v>
      </c>
      <c r="E43" s="751">
        <v>0.2423</v>
      </c>
    </row>
    <row r="44" spans="1:5" ht="29.25" hidden="1" thickBot="1">
      <c r="A44" s="694">
        <v>3</v>
      </c>
      <c r="B44" s="750" t="s">
        <v>548</v>
      </c>
      <c r="C44" s="751">
        <v>0.2076</v>
      </c>
      <c r="D44" s="751">
        <v>0.2418</v>
      </c>
      <c r="E44" s="751">
        <v>0.2644</v>
      </c>
    </row>
    <row r="45" spans="1:5" ht="15.75" hidden="1" thickBot="1">
      <c r="A45" s="694">
        <v>4</v>
      </c>
      <c r="B45" s="750" t="s">
        <v>549</v>
      </c>
      <c r="C45" s="751">
        <v>0.24</v>
      </c>
      <c r="D45" s="751">
        <v>0.2584</v>
      </c>
      <c r="E45" s="751">
        <v>0.2786</v>
      </c>
    </row>
    <row r="46" spans="1:5" ht="15.75" hidden="1" thickBot="1">
      <c r="A46" s="694">
        <v>5</v>
      </c>
      <c r="B46" s="750" t="s">
        <v>550</v>
      </c>
      <c r="C46" s="751">
        <v>0.228</v>
      </c>
      <c r="D46" s="751">
        <v>0.2748</v>
      </c>
      <c r="E46" s="751">
        <v>0.3095</v>
      </c>
    </row>
    <row r="47" spans="1:5" ht="15.75" hidden="1" thickBot="1">
      <c r="A47" s="694">
        <v>6</v>
      </c>
      <c r="B47" s="750" t="s">
        <v>551</v>
      </c>
      <c r="C47" s="751">
        <v>0.111</v>
      </c>
      <c r="D47" s="751">
        <v>0.1402</v>
      </c>
      <c r="E47" s="751">
        <v>0.168</v>
      </c>
    </row>
    <row r="48" ht="15" hidden="1"/>
    <row r="49" spans="8:11" ht="15" customHeight="1" hidden="1">
      <c r="H49" s="1224" t="s">
        <v>172</v>
      </c>
      <c r="I49" s="1225"/>
      <c r="J49" s="1225"/>
      <c r="K49" s="1226"/>
    </row>
    <row r="50" spans="8:11" ht="15" hidden="1">
      <c r="H50" s="752" t="s">
        <v>552</v>
      </c>
      <c r="I50" s="753"/>
      <c r="J50" s="754"/>
      <c r="K50" s="753"/>
    </row>
    <row r="51" spans="8:11" ht="15.75" hidden="1">
      <c r="H51" s="700"/>
      <c r="I51" s="753" t="s">
        <v>531</v>
      </c>
      <c r="J51" s="754" t="s">
        <v>519</v>
      </c>
      <c r="K51" s="753" t="s">
        <v>532</v>
      </c>
    </row>
    <row r="52" spans="8:11" ht="15" hidden="1">
      <c r="H52" s="752">
        <v>1</v>
      </c>
      <c r="I52" s="755">
        <v>3</v>
      </c>
      <c r="J52" s="755">
        <v>4</v>
      </c>
      <c r="K52" s="755">
        <v>5.5</v>
      </c>
    </row>
    <row r="53" spans="8:11" ht="15" hidden="1">
      <c r="H53" s="752">
        <v>2</v>
      </c>
      <c r="I53" s="755">
        <v>3.8</v>
      </c>
      <c r="J53" s="755">
        <v>4.01</v>
      </c>
      <c r="K53" s="755">
        <v>4.67</v>
      </c>
    </row>
    <row r="54" spans="8:11" ht="15" hidden="1">
      <c r="H54" s="752">
        <v>3</v>
      </c>
      <c r="I54" s="755">
        <v>3.43</v>
      </c>
      <c r="J54" s="755">
        <v>4.93</v>
      </c>
      <c r="K54" s="755">
        <v>6.71</v>
      </c>
    </row>
    <row r="55" spans="8:11" ht="15" hidden="1">
      <c r="H55" s="752">
        <v>4</v>
      </c>
      <c r="I55" s="755">
        <v>5.29</v>
      </c>
      <c r="J55" s="755">
        <v>5.92</v>
      </c>
      <c r="K55" s="755">
        <v>7.93</v>
      </c>
    </row>
    <row r="56" spans="8:11" ht="15" hidden="1">
      <c r="H56" s="752">
        <v>5</v>
      </c>
      <c r="I56" s="755">
        <v>4</v>
      </c>
      <c r="J56" s="755">
        <v>5.52</v>
      </c>
      <c r="K56" s="755">
        <v>7.85</v>
      </c>
    </row>
    <row r="57" spans="8:11" ht="15" hidden="1">
      <c r="H57" s="752">
        <v>6</v>
      </c>
      <c r="I57" s="755">
        <v>1.5</v>
      </c>
      <c r="J57" s="755">
        <v>3.45</v>
      </c>
      <c r="K57" s="755">
        <v>4.49</v>
      </c>
    </row>
    <row r="58" ht="15" hidden="1"/>
    <row r="59" spans="8:11" ht="15" customHeight="1" hidden="1">
      <c r="H59" s="1224" t="s">
        <v>495</v>
      </c>
      <c r="I59" s="1225"/>
      <c r="J59" s="1225"/>
      <c r="K59" s="1226"/>
    </row>
    <row r="60" spans="8:11" ht="15" hidden="1">
      <c r="H60" s="752" t="s">
        <v>552</v>
      </c>
      <c r="I60" s="753"/>
      <c r="J60" s="754"/>
      <c r="K60" s="753"/>
    </row>
    <row r="61" spans="8:11" ht="15.75" hidden="1">
      <c r="H61" s="700"/>
      <c r="I61" s="753" t="s">
        <v>531</v>
      </c>
      <c r="J61" s="754" t="s">
        <v>519</v>
      </c>
      <c r="K61" s="753" t="s">
        <v>532</v>
      </c>
    </row>
    <row r="62" spans="8:11" ht="15" hidden="1">
      <c r="H62" s="752">
        <v>1</v>
      </c>
      <c r="I62" s="755">
        <v>0.8</v>
      </c>
      <c r="J62" s="755">
        <v>0.8</v>
      </c>
      <c r="K62" s="755">
        <v>1</v>
      </c>
    </row>
    <row r="63" spans="8:11" ht="15" hidden="1">
      <c r="H63" s="752">
        <v>2</v>
      </c>
      <c r="I63" s="755">
        <v>0.32</v>
      </c>
      <c r="J63" s="755">
        <v>0.4</v>
      </c>
      <c r="K63" s="755">
        <v>0.74</v>
      </c>
    </row>
    <row r="64" spans="8:11" ht="15" hidden="1">
      <c r="H64" s="752">
        <v>3</v>
      </c>
      <c r="I64" s="755">
        <v>0.28</v>
      </c>
      <c r="J64" s="755">
        <v>0.49</v>
      </c>
      <c r="K64" s="755">
        <v>0.75</v>
      </c>
    </row>
    <row r="65" spans="8:11" ht="15" hidden="1">
      <c r="H65" s="752">
        <v>4</v>
      </c>
      <c r="I65" s="755">
        <v>0.25</v>
      </c>
      <c r="J65" s="755">
        <v>0.51</v>
      </c>
      <c r="K65" s="755">
        <v>0.56</v>
      </c>
    </row>
    <row r="66" spans="8:11" ht="15" hidden="1">
      <c r="H66" s="752">
        <v>5</v>
      </c>
      <c r="I66" s="755">
        <v>0.81</v>
      </c>
      <c r="J66" s="755">
        <v>1.22</v>
      </c>
      <c r="K66" s="755">
        <v>1.99</v>
      </c>
    </row>
    <row r="67" spans="8:11" ht="15" hidden="1">
      <c r="H67" s="752">
        <v>6</v>
      </c>
      <c r="I67" s="755">
        <v>0.3</v>
      </c>
      <c r="J67" s="755">
        <v>0.48</v>
      </c>
      <c r="K67" s="755">
        <v>0.82</v>
      </c>
    </row>
    <row r="68" ht="15" hidden="1"/>
    <row r="69" spans="8:11" ht="15" customHeight="1" hidden="1">
      <c r="H69" s="1224" t="s">
        <v>180</v>
      </c>
      <c r="I69" s="1225"/>
      <c r="J69" s="1225"/>
      <c r="K69" s="1226"/>
    </row>
    <row r="70" spans="8:11" ht="15" hidden="1">
      <c r="H70" s="752" t="s">
        <v>552</v>
      </c>
      <c r="I70" s="753"/>
      <c r="J70" s="754"/>
      <c r="K70" s="753"/>
    </row>
    <row r="71" spans="8:11" ht="15.75" hidden="1">
      <c r="H71" s="700"/>
      <c r="I71" s="753" t="s">
        <v>531</v>
      </c>
      <c r="J71" s="754" t="s">
        <v>519</v>
      </c>
      <c r="K71" s="753" t="s">
        <v>532</v>
      </c>
    </row>
    <row r="72" spans="8:11" ht="15" hidden="1">
      <c r="H72" s="752">
        <v>1</v>
      </c>
      <c r="I72" s="755">
        <v>0.97</v>
      </c>
      <c r="J72" s="755">
        <v>1.27</v>
      </c>
      <c r="K72" s="755">
        <v>1.27</v>
      </c>
    </row>
    <row r="73" spans="8:11" ht="15" hidden="1">
      <c r="H73" s="752">
        <v>2</v>
      </c>
      <c r="I73" s="755">
        <v>0.5</v>
      </c>
      <c r="J73" s="755">
        <v>0.56</v>
      </c>
      <c r="K73" s="755">
        <v>0.97</v>
      </c>
    </row>
    <row r="74" spans="8:11" ht="15" hidden="1">
      <c r="H74" s="752">
        <v>3</v>
      </c>
      <c r="I74" s="755">
        <v>1</v>
      </c>
      <c r="J74" s="755">
        <v>1.39</v>
      </c>
      <c r="K74" s="755">
        <v>1.74</v>
      </c>
    </row>
    <row r="75" spans="8:11" ht="15" hidden="1">
      <c r="H75" s="752">
        <v>4</v>
      </c>
      <c r="I75" s="755">
        <v>1</v>
      </c>
      <c r="J75" s="755">
        <v>1.48</v>
      </c>
      <c r="K75" s="755">
        <v>1.97</v>
      </c>
    </row>
    <row r="76" spans="8:11" ht="15" hidden="1">
      <c r="H76" s="752">
        <v>5</v>
      </c>
      <c r="I76" s="755">
        <v>1.46</v>
      </c>
      <c r="J76" s="755">
        <v>2.32</v>
      </c>
      <c r="K76" s="755">
        <v>3.16</v>
      </c>
    </row>
    <row r="77" spans="8:11" ht="15" hidden="1">
      <c r="H77" s="752">
        <v>6</v>
      </c>
      <c r="I77" s="755">
        <v>0.56</v>
      </c>
      <c r="J77" s="755">
        <v>0.85</v>
      </c>
      <c r="K77" s="755">
        <v>0.89</v>
      </c>
    </row>
    <row r="78" ht="15" hidden="1"/>
    <row r="79" spans="8:11" ht="15" customHeight="1" hidden="1">
      <c r="H79" s="1224" t="s">
        <v>553</v>
      </c>
      <c r="I79" s="1225"/>
      <c r="J79" s="1225"/>
      <c r="K79" s="1226"/>
    </row>
    <row r="80" spans="8:11" ht="15" hidden="1">
      <c r="H80" s="752" t="s">
        <v>552</v>
      </c>
      <c r="I80" s="753"/>
      <c r="J80" s="754"/>
      <c r="K80" s="753"/>
    </row>
    <row r="81" spans="8:11" ht="15.75" hidden="1">
      <c r="H81" s="700"/>
      <c r="I81" s="753" t="s">
        <v>531</v>
      </c>
      <c r="J81" s="754" t="s">
        <v>519</v>
      </c>
      <c r="K81" s="753" t="s">
        <v>532</v>
      </c>
    </row>
    <row r="82" spans="8:11" ht="15" hidden="1">
      <c r="H82" s="752">
        <v>1</v>
      </c>
      <c r="I82" s="755">
        <v>0.59</v>
      </c>
      <c r="J82" s="755">
        <v>1.23</v>
      </c>
      <c r="K82" s="755">
        <v>1.39</v>
      </c>
    </row>
    <row r="83" spans="8:11" ht="15" hidden="1">
      <c r="H83" s="752">
        <v>2</v>
      </c>
      <c r="I83" s="755">
        <v>1.02</v>
      </c>
      <c r="J83" s="755">
        <v>1.11</v>
      </c>
      <c r="K83" s="755">
        <v>1.21</v>
      </c>
    </row>
    <row r="84" spans="8:11" ht="15" hidden="1">
      <c r="H84" s="752">
        <v>3</v>
      </c>
      <c r="I84" s="755">
        <v>0.94</v>
      </c>
      <c r="J84" s="755">
        <v>0.99</v>
      </c>
      <c r="K84" s="755">
        <v>1.17</v>
      </c>
    </row>
    <row r="85" spans="8:11" ht="15" hidden="1">
      <c r="H85" s="752">
        <v>4</v>
      </c>
      <c r="I85" s="755">
        <v>1.01</v>
      </c>
      <c r="J85" s="755">
        <v>1.07</v>
      </c>
      <c r="K85" s="755">
        <v>1.11</v>
      </c>
    </row>
    <row r="86" spans="8:11" ht="15" hidden="1">
      <c r="H86" s="752">
        <v>5</v>
      </c>
      <c r="I86" s="755">
        <v>0.94</v>
      </c>
      <c r="J86" s="755">
        <v>1.02</v>
      </c>
      <c r="K86" s="755">
        <v>1.33</v>
      </c>
    </row>
    <row r="87" spans="8:11" ht="15" hidden="1">
      <c r="H87" s="752">
        <v>6</v>
      </c>
      <c r="I87" s="755">
        <v>0.85</v>
      </c>
      <c r="J87" s="755">
        <v>0.85</v>
      </c>
      <c r="K87" s="755">
        <v>1.11</v>
      </c>
    </row>
    <row r="88" ht="15" hidden="1"/>
    <row r="89" spans="8:11" ht="15" customHeight="1" hidden="1">
      <c r="H89" s="1224" t="s">
        <v>554</v>
      </c>
      <c r="I89" s="1225"/>
      <c r="J89" s="1225"/>
      <c r="K89" s="1226"/>
    </row>
    <row r="90" spans="8:11" ht="15" hidden="1">
      <c r="H90" s="752" t="s">
        <v>552</v>
      </c>
      <c r="I90" s="753"/>
      <c r="J90" s="754"/>
      <c r="K90" s="753"/>
    </row>
    <row r="91" spans="8:11" ht="15.75" hidden="1">
      <c r="H91" s="700"/>
      <c r="I91" s="753" t="s">
        <v>531</v>
      </c>
      <c r="J91" s="754" t="s">
        <v>519</v>
      </c>
      <c r="K91" s="753" t="s">
        <v>532</v>
      </c>
    </row>
    <row r="92" spans="8:11" ht="15" hidden="1">
      <c r="H92" s="752">
        <v>1</v>
      </c>
      <c r="I92" s="755">
        <v>6.16</v>
      </c>
      <c r="J92" s="755">
        <v>7.4</v>
      </c>
      <c r="K92" s="755">
        <v>8.96</v>
      </c>
    </row>
    <row r="93" spans="8:11" ht="15" hidden="1">
      <c r="H93" s="752">
        <v>2</v>
      </c>
      <c r="I93" s="755">
        <v>6.64</v>
      </c>
      <c r="J93" s="755">
        <v>7.3</v>
      </c>
      <c r="K93" s="755">
        <v>8.69</v>
      </c>
    </row>
    <row r="94" spans="8:11" ht="15" hidden="1">
      <c r="H94" s="752">
        <v>3</v>
      </c>
      <c r="I94" s="755">
        <v>6.74</v>
      </c>
      <c r="J94" s="755">
        <v>8.04</v>
      </c>
      <c r="K94" s="755">
        <v>9.4</v>
      </c>
    </row>
    <row r="95" spans="8:11" ht="15" hidden="1">
      <c r="H95" s="752">
        <v>4</v>
      </c>
      <c r="I95" s="755">
        <v>8</v>
      </c>
      <c r="J95" s="755">
        <v>8.31</v>
      </c>
      <c r="K95" s="755">
        <v>9.51</v>
      </c>
    </row>
    <row r="96" spans="8:11" ht="15" hidden="1">
      <c r="H96" s="752">
        <v>5</v>
      </c>
      <c r="I96" s="755">
        <v>7.14</v>
      </c>
      <c r="J96" s="755">
        <v>8.4</v>
      </c>
      <c r="K96" s="755">
        <v>10.43</v>
      </c>
    </row>
    <row r="97" spans="8:11" ht="15" hidden="1">
      <c r="H97" s="752">
        <v>6</v>
      </c>
      <c r="I97" s="755">
        <v>3.5</v>
      </c>
      <c r="J97" s="755">
        <v>5.11</v>
      </c>
      <c r="K97" s="755">
        <v>6.22</v>
      </c>
    </row>
    <row r="98" ht="15" hidden="1"/>
    <row r="99" spans="6:11" ht="15" customHeight="1" hidden="1">
      <c r="F99" s="756"/>
      <c r="G99" s="756"/>
      <c r="H99" s="1220"/>
      <c r="I99" s="1220"/>
      <c r="J99" s="1220"/>
      <c r="K99" s="1220"/>
    </row>
    <row r="100" spans="6:11" ht="15" hidden="1">
      <c r="F100" s="756"/>
      <c r="G100" s="756"/>
      <c r="H100" s="756"/>
      <c r="I100" s="757"/>
      <c r="J100" s="758"/>
      <c r="K100" s="757"/>
    </row>
    <row r="101" spans="6:11" ht="15.75">
      <c r="F101" s="756"/>
      <c r="G101" s="756"/>
      <c r="H101" s="759"/>
      <c r="I101" s="757"/>
      <c r="J101" s="758"/>
      <c r="K101" s="757"/>
    </row>
    <row r="102" spans="6:11" ht="15">
      <c r="F102" s="756"/>
      <c r="G102" s="756"/>
      <c r="H102" s="756"/>
      <c r="I102" s="757"/>
      <c r="J102" s="758"/>
      <c r="K102" s="757"/>
    </row>
    <row r="103" spans="6:11" ht="15">
      <c r="F103" s="756"/>
      <c r="G103" s="756"/>
      <c r="H103" s="756"/>
      <c r="I103" s="757"/>
      <c r="J103" s="758"/>
      <c r="K103" s="757"/>
    </row>
    <row r="104" spans="6:11" ht="15">
      <c r="F104" s="756"/>
      <c r="G104" s="756"/>
      <c r="H104" s="756"/>
      <c r="I104" s="756"/>
      <c r="J104" s="756"/>
      <c r="K104" s="756"/>
    </row>
    <row r="105" spans="6:11" ht="15">
      <c r="F105" s="756"/>
      <c r="G105" s="756"/>
      <c r="H105" s="756"/>
      <c r="I105" s="757"/>
      <c r="J105" s="758"/>
      <c r="K105" s="757"/>
    </row>
    <row r="106" spans="6:11" ht="15">
      <c r="F106" s="756"/>
      <c r="G106" s="756"/>
      <c r="H106" s="756"/>
      <c r="I106" s="757"/>
      <c r="J106" s="758"/>
      <c r="K106" s="757"/>
    </row>
    <row r="107" spans="6:11" ht="15">
      <c r="F107" s="756"/>
      <c r="G107" s="756"/>
      <c r="H107" s="756"/>
      <c r="I107" s="756"/>
      <c r="J107" s="756"/>
      <c r="K107" s="756"/>
    </row>
    <row r="108" spans="6:11" ht="15">
      <c r="F108" s="756"/>
      <c r="G108" s="756"/>
      <c r="H108" s="756"/>
      <c r="I108" s="756"/>
      <c r="J108" s="756"/>
      <c r="K108" s="756"/>
    </row>
    <row r="109" spans="6:11" ht="15">
      <c r="F109" s="756"/>
      <c r="G109" s="756"/>
      <c r="H109" s="756"/>
      <c r="I109" s="756"/>
      <c r="J109" s="756"/>
      <c r="K109" s="756"/>
    </row>
    <row r="110" spans="6:11" ht="15">
      <c r="F110" s="756"/>
      <c r="G110" s="756"/>
      <c r="H110" s="756"/>
      <c r="I110" s="756"/>
      <c r="J110" s="756"/>
      <c r="K110" s="756"/>
    </row>
  </sheetData>
  <sheetProtection password="CAF8" sheet="1" objects="1" scenarios="1"/>
  <mergeCells count="13">
    <mergeCell ref="I7:K7"/>
    <mergeCell ref="J8:K8"/>
    <mergeCell ref="J9:K9"/>
    <mergeCell ref="J10:K10"/>
    <mergeCell ref="H18:K18"/>
    <mergeCell ref="B20:K20"/>
    <mergeCell ref="H99:K99"/>
    <mergeCell ref="B40:E40"/>
    <mergeCell ref="H49:K49"/>
    <mergeCell ref="H59:K59"/>
    <mergeCell ref="H69:K69"/>
    <mergeCell ref="H79:K79"/>
    <mergeCell ref="H89:K89"/>
  </mergeCells>
  <conditionalFormatting sqref="F11:F13">
    <cfRule type="cellIs" priority="11" dxfId="1" operator="lessThan" stopIfTrue="1">
      <formula>$C11</formula>
    </cfRule>
    <cfRule type="cellIs" priority="12" dxfId="0" operator="greaterThan" stopIfTrue="1">
      <formula>$E11</formula>
    </cfRule>
  </conditionalFormatting>
  <conditionalFormatting sqref="G18">
    <cfRule type="cellIs" priority="9" dxfId="7" operator="lessThan" stopIfTrue="1">
      <formula>$C$18</formula>
    </cfRule>
    <cfRule type="cellIs" priority="10" dxfId="8" operator="greaterThan" stopIfTrue="1">
      <formula>$E$18</formula>
    </cfRule>
  </conditionalFormatting>
  <conditionalFormatting sqref="F18">
    <cfRule type="cellIs" priority="6" dxfId="7" operator="lessThan" stopIfTrue="1">
      <formula>$C$18</formula>
    </cfRule>
    <cfRule type="cellIs" priority="7" dxfId="6" operator="greaterThan" stopIfTrue="1">
      <formula>$E$18</formula>
    </cfRule>
    <cfRule type="cellIs" priority="8" dxfId="5" operator="between" stopIfTrue="1">
      <formula>$C$18</formula>
      <formula>$E$18</formula>
    </cfRule>
  </conditionalFormatting>
  <conditionalFormatting sqref="H18:K18">
    <cfRule type="expression" priority="3" dxfId="4" stopIfTrue="1">
      <formula>$F$18&gt;$E$18</formula>
    </cfRule>
    <cfRule type="expression" priority="4" dxfId="1" stopIfTrue="1">
      <formula>$F$18&lt;$C$18</formula>
    </cfRule>
    <cfRule type="expression" priority="5" dxfId="2" stopIfTrue="1">
      <formula>$H$16&gt;0</formula>
    </cfRule>
  </conditionalFormatting>
  <conditionalFormatting sqref="F6:F10">
    <cfRule type="cellIs" priority="1" dxfId="1" operator="lessThan" stopIfTrue="1">
      <formula>$C6</formula>
    </cfRule>
    <cfRule type="cellIs" priority="2" dxfId="0" operator="greaterThan" stopIfTrue="1">
      <formula>$E6</formula>
    </cfRule>
  </conditionalFormatting>
  <printOptions/>
  <pageMargins left="1.3" right="0.787401575" top="1.07" bottom="0.61" header="0.66" footer="0.32"/>
  <pageSetup fitToHeight="1" fitToWidth="1" horizontalDpi="600" verticalDpi="600" orientation="landscape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0.28125" style="0" bestFit="1" customWidth="1"/>
    <col min="2" max="2" width="65.8515625" style="0" bestFit="1" customWidth="1"/>
    <col min="3" max="3" width="20.7109375" style="0" customWidth="1"/>
    <col min="7" max="7" width="17.421875" style="0" customWidth="1"/>
    <col min="8" max="8" width="28.28125" style="0" customWidth="1"/>
    <col min="12" max="12" width="20.00390625" style="0" customWidth="1"/>
  </cols>
  <sheetData>
    <row r="1" spans="1:13" ht="12.75">
      <c r="A1" s="52" t="s">
        <v>472</v>
      </c>
      <c r="B1" s="49" t="s">
        <v>556</v>
      </c>
      <c r="G1" s="48" t="s">
        <v>111</v>
      </c>
      <c r="H1" s="48" t="s">
        <v>110</v>
      </c>
      <c r="I1" s="48" t="s">
        <v>120</v>
      </c>
      <c r="L1" s="48" t="s">
        <v>109</v>
      </c>
      <c r="M1" s="48" t="s">
        <v>131</v>
      </c>
    </row>
    <row r="2" spans="1:13" ht="12.75">
      <c r="A2" s="52" t="s">
        <v>156</v>
      </c>
      <c r="B2" s="49" t="s">
        <v>557</v>
      </c>
      <c r="G2" s="48" t="s">
        <v>113</v>
      </c>
      <c r="H2" s="48" t="s">
        <v>114</v>
      </c>
      <c r="I2" s="48">
        <v>1</v>
      </c>
      <c r="J2" t="str">
        <f>IF(I2=1,"Prefeito","Prefeita")</f>
        <v>Prefeito</v>
      </c>
      <c r="L2" s="48" t="s">
        <v>82</v>
      </c>
      <c r="M2" s="48" t="s">
        <v>132</v>
      </c>
    </row>
    <row r="3" spans="1:12" ht="12.75">
      <c r="A3" s="52" t="s">
        <v>107</v>
      </c>
      <c r="B3" s="50">
        <v>41730</v>
      </c>
      <c r="G3" s="48" t="s">
        <v>115</v>
      </c>
      <c r="H3" s="48" t="s">
        <v>412</v>
      </c>
      <c r="I3" s="48">
        <v>1</v>
      </c>
      <c r="J3" t="str">
        <f aca="true" t="shared" si="0" ref="J3:J12">IF(I3=1,"Prefeito","Prefeita")</f>
        <v>Prefeito</v>
      </c>
      <c r="L3" s="48" t="s">
        <v>133</v>
      </c>
    </row>
    <row r="4" spans="1:12" ht="12.75">
      <c r="A4" s="52" t="s">
        <v>112</v>
      </c>
      <c r="B4" s="49" t="s">
        <v>410</v>
      </c>
      <c r="C4" s="48" t="s">
        <v>139</v>
      </c>
      <c r="G4" s="48" t="s">
        <v>116</v>
      </c>
      <c r="H4" s="48" t="s">
        <v>413</v>
      </c>
      <c r="I4" s="48">
        <v>2</v>
      </c>
      <c r="J4" t="str">
        <f t="shared" si="0"/>
        <v>Prefeita</v>
      </c>
      <c r="L4" s="48" t="s">
        <v>134</v>
      </c>
    </row>
    <row r="5" spans="1:13" ht="12.75">
      <c r="A5" s="52" t="s">
        <v>108</v>
      </c>
      <c r="B5" s="51" t="str">
        <f>VLOOKUP(B4,G2:H12,2,1)</f>
        <v>Ana Paula da Silva</v>
      </c>
      <c r="C5" s="48" t="s">
        <v>145</v>
      </c>
      <c r="G5" s="48" t="s">
        <v>117</v>
      </c>
      <c r="H5" s="48" t="s">
        <v>118</v>
      </c>
      <c r="I5">
        <v>2</v>
      </c>
      <c r="J5" t="str">
        <f t="shared" si="0"/>
        <v>Prefeita</v>
      </c>
      <c r="L5" s="48" t="s">
        <v>135</v>
      </c>
      <c r="M5" t="s">
        <v>151</v>
      </c>
    </row>
    <row r="6" spans="1:10" ht="12.75">
      <c r="A6" s="52" t="s">
        <v>109</v>
      </c>
      <c r="B6" s="49" t="s">
        <v>190</v>
      </c>
      <c r="G6" s="48" t="s">
        <v>119</v>
      </c>
      <c r="H6" s="48" t="s">
        <v>414</v>
      </c>
      <c r="I6">
        <v>1</v>
      </c>
      <c r="J6" t="str">
        <f t="shared" si="0"/>
        <v>Prefeito</v>
      </c>
    </row>
    <row r="7" spans="1:10" ht="12.75">
      <c r="A7" s="52" t="s">
        <v>131</v>
      </c>
      <c r="B7" s="51" t="str">
        <f>VLOOKUP(B6,L2:M5,2)</f>
        <v>8.333-3</v>
      </c>
      <c r="C7" s="48" t="s">
        <v>466</v>
      </c>
      <c r="G7" s="48" t="s">
        <v>122</v>
      </c>
      <c r="H7" s="48" t="s">
        <v>123</v>
      </c>
      <c r="I7">
        <v>1</v>
      </c>
      <c r="J7" t="str">
        <f t="shared" si="0"/>
        <v>Prefeito</v>
      </c>
    </row>
    <row r="8" spans="1:10" ht="12.75">
      <c r="A8" s="52" t="s">
        <v>137</v>
      </c>
      <c r="B8" s="51" t="s">
        <v>590</v>
      </c>
      <c r="G8" s="48" t="s">
        <v>121</v>
      </c>
      <c r="H8" s="48" t="s">
        <v>415</v>
      </c>
      <c r="I8">
        <v>1</v>
      </c>
      <c r="J8" t="str">
        <f t="shared" si="0"/>
        <v>Prefeito</v>
      </c>
    </row>
    <row r="9" spans="1:10" ht="12.75">
      <c r="A9" s="137" t="s">
        <v>23</v>
      </c>
      <c r="B9" s="845" t="s">
        <v>589</v>
      </c>
      <c r="G9" s="48" t="s">
        <v>124</v>
      </c>
      <c r="H9" s="48" t="s">
        <v>125</v>
      </c>
      <c r="I9">
        <v>1</v>
      </c>
      <c r="J9" t="str">
        <f t="shared" si="0"/>
        <v>Prefeito</v>
      </c>
    </row>
    <row r="10" spans="1:10" ht="12.75">
      <c r="A10" s="137" t="s">
        <v>42</v>
      </c>
      <c r="B10" s="210">
        <f>BDI!C24</f>
        <v>0.2373</v>
      </c>
      <c r="G10" s="48" t="s">
        <v>126</v>
      </c>
      <c r="H10" s="48" t="s">
        <v>127</v>
      </c>
      <c r="I10">
        <v>1</v>
      </c>
      <c r="J10" t="str">
        <f t="shared" si="0"/>
        <v>Prefeito</v>
      </c>
    </row>
    <row r="11" spans="1:10" ht="12.75">
      <c r="A11" s="137" t="s">
        <v>593</v>
      </c>
      <c r="B11" s="1239" t="s">
        <v>594</v>
      </c>
      <c r="G11" s="48" t="s">
        <v>128</v>
      </c>
      <c r="H11" s="48" t="s">
        <v>129</v>
      </c>
      <c r="I11">
        <v>1</v>
      </c>
      <c r="J11" t="str">
        <f t="shared" si="0"/>
        <v>Prefeito</v>
      </c>
    </row>
    <row r="12" spans="7:10" ht="12.75">
      <c r="G12" s="48" t="s">
        <v>130</v>
      </c>
      <c r="H12" s="48" t="s">
        <v>416</v>
      </c>
      <c r="I12">
        <v>1</v>
      </c>
      <c r="J12" t="str">
        <f t="shared" si="0"/>
        <v>Prefeito</v>
      </c>
    </row>
    <row r="13" ht="12.75">
      <c r="B13" s="48"/>
    </row>
    <row r="15" ht="12.75">
      <c r="B15" t="str">
        <f>CONCATENATE(C4,B4)</f>
        <v>PREFEITURA MUNICIPAL DE BOMBINHAS</v>
      </c>
    </row>
    <row r="16" ht="12.75">
      <c r="B16" t="str">
        <f>CONCATENATE(C5,B4)</f>
        <v>MUNICÍPIO: BOMBINHAS</v>
      </c>
    </row>
    <row r="17" ht="12.75">
      <c r="B17" t="str">
        <f>CONCATENATE(C7,B7)</f>
        <v>Engenheiro Civil - CREA SC 8.333-3</v>
      </c>
    </row>
    <row r="18" spans="2:3" ht="12.75">
      <c r="B18" t="str">
        <f>CONCATENATE(A1,B1)</f>
        <v>RUA MERGULHÃO CAÇADOR - </v>
      </c>
      <c r="C18" s="48" t="s">
        <v>146</v>
      </c>
    </row>
    <row r="19" spans="2:3" ht="12.75">
      <c r="B19" t="str">
        <f>CONCATENATE(A2,B2)</f>
        <v>BAIRRO BOMBAS</v>
      </c>
      <c r="C19" t="str">
        <f>CONCATENATE(B18,B19)</f>
        <v>RUA MERGULHÃO CAÇADOR - BAIRRO BOMBAS</v>
      </c>
    </row>
    <row r="20" ht="12.75">
      <c r="C20" t="str">
        <f>CONCATENATE(C18,C19)</f>
        <v>Localização: RUA MERGULHÃO CAÇADOR - BAIRRO BOMBAS</v>
      </c>
    </row>
    <row r="23" ht="12.75">
      <c r="C23" t="s">
        <v>152</v>
      </c>
    </row>
    <row r="24" ht="12.75">
      <c r="C24" t="str">
        <f>B6</f>
        <v>Carlos Alberto Bley  </v>
      </c>
    </row>
    <row r="25" ht="12.75">
      <c r="C25" t="str">
        <f>CONCATENATE(C23,C24)</f>
        <v>Nome: Carlos Alberto Bley  </v>
      </c>
    </row>
    <row r="27" ht="12.75">
      <c r="C27" t="s">
        <v>153</v>
      </c>
    </row>
    <row r="28" ht="12.75">
      <c r="C28" t="str">
        <f>CONCATENATE(C27,B7)</f>
        <v>Crea: 8.333-3</v>
      </c>
    </row>
    <row r="30" ht="12.75">
      <c r="C30" t="str">
        <f>CONCATENATE(C24,C28)</f>
        <v>Carlos Alberto Bley  Crea: 8.333-3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SheetLayoutView="100" zoomScalePageLayoutView="0" workbookViewId="0" topLeftCell="A1">
      <selection activeCell="G38" sqref="G38"/>
    </sheetView>
  </sheetViews>
  <sheetFormatPr defaultColWidth="9.140625" defaultRowHeight="12.75"/>
  <cols>
    <col min="1" max="1" width="7.57421875" style="511" customWidth="1"/>
    <col min="2" max="2" width="7.7109375" style="671" customWidth="1"/>
    <col min="3" max="3" width="11.140625" style="515" customWidth="1"/>
    <col min="4" max="4" width="13.140625" style="515" bestFit="1" customWidth="1"/>
    <col min="5" max="5" width="11.421875" style="515" customWidth="1"/>
    <col min="6" max="6" width="11.28125" style="515" customWidth="1"/>
    <col min="7" max="7" width="13.140625" style="515" customWidth="1"/>
    <col min="8" max="8" width="11.00390625" style="515" customWidth="1"/>
    <col min="9" max="9" width="13.421875" style="515" customWidth="1"/>
    <col min="10" max="10" width="8.57421875" style="515" customWidth="1"/>
    <col min="11" max="11" width="10.421875" style="515" bestFit="1" customWidth="1"/>
    <col min="12" max="12" width="11.421875" style="515" customWidth="1"/>
    <col min="13" max="13" width="11.28125" style="515" customWidth="1"/>
    <col min="14" max="16384" width="9.140625" style="511" customWidth="1"/>
  </cols>
  <sheetData>
    <row r="1" spans="1:13" ht="18">
      <c r="A1" s="851" t="s">
        <v>57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</row>
    <row r="2" spans="1:13" ht="23.25" customHeight="1" thickBot="1">
      <c r="A2" s="852" t="str">
        <f>'dados de entrada'!B15</f>
        <v>PREFEITURA MUNICIPAL DE BOMBINHAS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</row>
    <row r="3" spans="1:13" ht="21" thickBot="1">
      <c r="A3" s="589" t="s">
        <v>58</v>
      </c>
      <c r="B3" s="590"/>
      <c r="C3" s="853" t="str">
        <f>'dados de entrada'!B8</f>
        <v>PAVIMENTAÇÃO COM LAJOTAS SEXTAVADAS E DRENAGEM PLUVIAL </v>
      </c>
      <c r="D3" s="853"/>
      <c r="E3" s="853"/>
      <c r="F3" s="853"/>
      <c r="G3" s="853"/>
      <c r="H3" s="853"/>
      <c r="I3" s="853"/>
      <c r="J3" s="853"/>
      <c r="K3" s="853"/>
      <c r="L3" s="853"/>
      <c r="M3" s="854"/>
    </row>
    <row r="4" spans="1:13" ht="18.75" thickBot="1">
      <c r="A4" s="589" t="s">
        <v>60</v>
      </c>
      <c r="B4" s="591"/>
      <c r="C4" s="853" t="str">
        <f>'dados de entrada'!C19</f>
        <v>RUA MERGULHÃO CAÇADOR - BAIRRO BOMBAS</v>
      </c>
      <c r="D4" s="853"/>
      <c r="E4" s="853"/>
      <c r="F4" s="853"/>
      <c r="G4" s="853"/>
      <c r="H4" s="853"/>
      <c r="I4" s="853"/>
      <c r="J4" s="853"/>
      <c r="K4" s="853"/>
      <c r="L4" s="853"/>
      <c r="M4" s="854"/>
    </row>
    <row r="5" spans="1:16" ht="21" customHeight="1" thickBot="1">
      <c r="A5" s="855" t="s">
        <v>502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P5" s="592" t="s">
        <v>62</v>
      </c>
    </row>
    <row r="6" spans="1:16" ht="14.25" customHeight="1">
      <c r="A6" s="873" t="s">
        <v>63</v>
      </c>
      <c r="B6" s="874"/>
      <c r="C6" s="858" t="s">
        <v>64</v>
      </c>
      <c r="D6" s="859"/>
      <c r="E6" s="593" t="s">
        <v>65</v>
      </c>
      <c r="F6" s="885" t="s">
        <v>66</v>
      </c>
      <c r="G6" s="883" t="s">
        <v>67</v>
      </c>
      <c r="H6" s="858" t="s">
        <v>68</v>
      </c>
      <c r="I6" s="859"/>
      <c r="J6" s="881" t="s">
        <v>69</v>
      </c>
      <c r="K6" s="883" t="s">
        <v>70</v>
      </c>
      <c r="L6" s="858" t="s">
        <v>71</v>
      </c>
      <c r="M6" s="859"/>
      <c r="N6" s="594"/>
      <c r="P6" s="595">
        <v>60</v>
      </c>
    </row>
    <row r="7" spans="1:14" ht="15" customHeight="1" thickBot="1">
      <c r="A7" s="863" t="s">
        <v>72</v>
      </c>
      <c r="B7" s="864"/>
      <c r="C7" s="596" t="s">
        <v>73</v>
      </c>
      <c r="D7" s="597" t="s">
        <v>74</v>
      </c>
      <c r="E7" s="598" t="s">
        <v>75</v>
      </c>
      <c r="F7" s="886"/>
      <c r="G7" s="884"/>
      <c r="H7" s="596" t="s">
        <v>63</v>
      </c>
      <c r="I7" s="597" t="s">
        <v>76</v>
      </c>
      <c r="J7" s="882"/>
      <c r="K7" s="884"/>
      <c r="L7" s="596" t="s">
        <v>77</v>
      </c>
      <c r="M7" s="597" t="s">
        <v>78</v>
      </c>
      <c r="N7" s="594"/>
    </row>
    <row r="8" spans="1:20" s="602" customFormat="1" ht="15" customHeight="1" thickBot="1">
      <c r="A8" s="865"/>
      <c r="B8" s="866"/>
      <c r="C8" s="866"/>
      <c r="D8" s="866"/>
      <c r="E8" s="866"/>
      <c r="F8" s="866"/>
      <c r="G8" s="866"/>
      <c r="H8" s="866"/>
      <c r="I8" s="866"/>
      <c r="J8" s="866"/>
      <c r="K8" s="866"/>
      <c r="L8" s="866"/>
      <c r="M8" s="867"/>
      <c r="N8" s="599"/>
      <c r="O8" s="600"/>
      <c r="P8" s="601" t="s">
        <v>79</v>
      </c>
      <c r="Q8" s="600"/>
      <c r="R8" s="600"/>
      <c r="S8" s="600"/>
      <c r="T8" s="600"/>
    </row>
    <row r="9" spans="1:16" ht="15" customHeight="1">
      <c r="A9" s="681" t="s">
        <v>504</v>
      </c>
      <c r="B9" s="682" t="s">
        <v>411</v>
      </c>
      <c r="C9" s="683">
        <v>10.94</v>
      </c>
      <c r="D9" s="684">
        <v>9.56</v>
      </c>
      <c r="E9" s="685">
        <v>40</v>
      </c>
      <c r="F9" s="686">
        <v>20</v>
      </c>
      <c r="G9" s="609">
        <f>ABS((C9-D9)/E9)</f>
        <v>0.034499999999999975</v>
      </c>
      <c r="H9" s="610">
        <f>((F9*$P$6)/10000)</f>
        <v>0.12</v>
      </c>
      <c r="I9" s="611">
        <f>H9</f>
        <v>0.12</v>
      </c>
      <c r="J9" s="612">
        <v>0.8</v>
      </c>
      <c r="K9" s="613">
        <f>(2.78*J9*$P$9*I9)/1000</f>
        <v>0.024019199999999994</v>
      </c>
      <c r="L9" s="613">
        <f>1.55*(K9*$P$16/(G9^0.5))^0.375</f>
        <v>0.14123060738074816</v>
      </c>
      <c r="M9" s="614">
        <f>IF(L9&lt;0.4,0.4,IF(AND(L9&gt;0.4,L9&lt;0.6),0.6,0.8))</f>
        <v>0.4</v>
      </c>
      <c r="N9" s="594"/>
      <c r="P9" s="615">
        <v>90</v>
      </c>
    </row>
    <row r="10" spans="1:16" ht="15" customHeight="1">
      <c r="A10" s="687" t="str">
        <f>B9</f>
        <v>CL1</v>
      </c>
      <c r="B10" s="688" t="s">
        <v>558</v>
      </c>
      <c r="C10" s="689">
        <f>D9</f>
        <v>9.56</v>
      </c>
      <c r="D10" s="690">
        <v>8.89</v>
      </c>
      <c r="E10" s="691">
        <v>40</v>
      </c>
      <c r="F10" s="692">
        <v>40</v>
      </c>
      <c r="G10" s="609">
        <f>ABS((C10-D10)/E10)</f>
        <v>0.016749999999999998</v>
      </c>
      <c r="H10" s="610">
        <f>((F10*$P$6)/10000)</f>
        <v>0.24</v>
      </c>
      <c r="I10" s="611">
        <f>H10+I9</f>
        <v>0.36</v>
      </c>
      <c r="J10" s="612">
        <v>0.8</v>
      </c>
      <c r="K10" s="613">
        <f>(2.78*J10*$P$9*I10)/1000</f>
        <v>0.07205759999999999</v>
      </c>
      <c r="L10" s="613">
        <f>1.55*(K10*$P$16/(G10^0.5))^0.375</f>
        <v>0.24416735609174672</v>
      </c>
      <c r="M10" s="614">
        <f>IF(L10&lt;0.4,0.4,IF(AND(L10&gt;0.4,L10&lt;0.6),0.6,0.8))</f>
        <v>0.4</v>
      </c>
      <c r="N10" s="594"/>
      <c r="P10" s="615"/>
    </row>
    <row r="11" spans="1:16" ht="15" customHeight="1">
      <c r="A11" s="687" t="str">
        <f>B10</f>
        <v>CL 2</v>
      </c>
      <c r="B11" s="688" t="s">
        <v>560</v>
      </c>
      <c r="C11" s="689">
        <f>D10</f>
        <v>8.89</v>
      </c>
      <c r="D11" s="690">
        <v>8.75</v>
      </c>
      <c r="E11" s="691">
        <v>40</v>
      </c>
      <c r="F11" s="692">
        <v>40</v>
      </c>
      <c r="G11" s="609">
        <f>ABS((C11-D11)/E11)</f>
        <v>0.0035000000000000144</v>
      </c>
      <c r="H11" s="610">
        <f>((F11*$P$6)/10000)</f>
        <v>0.24</v>
      </c>
      <c r="I11" s="611">
        <f>H11+I10</f>
        <v>0.6</v>
      </c>
      <c r="J11" s="612">
        <v>0.8</v>
      </c>
      <c r="K11" s="613">
        <f>(2.78*J11*$P$9*I11)/1000</f>
        <v>0.12009599999999998</v>
      </c>
      <c r="L11" s="613">
        <f>1.55*(K11*$P$16/(G11^0.5))^0.375</f>
        <v>0.3966166121223551</v>
      </c>
      <c r="M11" s="614">
        <f>IF(L11&lt;0.4,0.4,IF(AND(L11&gt;0.4,L11&lt;0.6),0.6,0.8))</f>
        <v>0.4</v>
      </c>
      <c r="N11" s="594"/>
      <c r="P11" s="615"/>
    </row>
    <row r="12" spans="1:14" ht="15" customHeight="1">
      <c r="A12" s="687" t="str">
        <f>B11</f>
        <v>PV 2</v>
      </c>
      <c r="B12" s="688" t="s">
        <v>559</v>
      </c>
      <c r="C12" s="689">
        <f>D11</f>
        <v>8.75</v>
      </c>
      <c r="D12" s="690">
        <v>8.48</v>
      </c>
      <c r="E12" s="691">
        <v>40</v>
      </c>
      <c r="F12" s="692">
        <v>40</v>
      </c>
      <c r="G12" s="609">
        <f>ABS((C12-D12)/E12)</f>
        <v>0.0067499999999999895</v>
      </c>
      <c r="H12" s="610">
        <f>((F12*$P$6)/10000)</f>
        <v>0.24</v>
      </c>
      <c r="I12" s="611">
        <f>H12+I11</f>
        <v>0.84</v>
      </c>
      <c r="J12" s="612">
        <v>0.8</v>
      </c>
      <c r="K12" s="613">
        <f>(2.78*J12*$P$9*I12)/1000</f>
        <v>0.16813439999999996</v>
      </c>
      <c r="L12" s="613">
        <f>1.55*(K12*$P$16/(G12^0.5))^0.375</f>
        <v>0.3978205511924649</v>
      </c>
      <c r="M12" s="614">
        <f>IF(L12&lt;0.4,0.4,IF(AND(L12&gt;0.4,L12&lt;0.6),0.6,0.8))</f>
        <v>0.4</v>
      </c>
      <c r="N12" s="594"/>
    </row>
    <row r="13" spans="1:16" ht="15" customHeight="1">
      <c r="A13" s="687" t="str">
        <f>B12</f>
        <v>CL 3</v>
      </c>
      <c r="B13" s="688" t="s">
        <v>561</v>
      </c>
      <c r="C13" s="689">
        <v>8.28</v>
      </c>
      <c r="D13" s="690">
        <v>8.22</v>
      </c>
      <c r="E13" s="691">
        <v>29</v>
      </c>
      <c r="F13" s="692">
        <v>40</v>
      </c>
      <c r="G13" s="609">
        <f>ABS((C13-D13)/E13)</f>
        <v>0.002068965517241335</v>
      </c>
      <c r="H13" s="610">
        <f>((F13*$P$6)/10000)</f>
        <v>0.24</v>
      </c>
      <c r="I13" s="611">
        <f>H13+I12</f>
        <v>1.08</v>
      </c>
      <c r="J13" s="612">
        <v>0.8</v>
      </c>
      <c r="K13" s="613">
        <f>(2.78*J13*$P$9*I13)/1000</f>
        <v>0.21617279999999997</v>
      </c>
      <c r="L13" s="613">
        <f>1.55*(K13*$P$16/(G13^0.5))^0.375</f>
        <v>0.5456411472422324</v>
      </c>
      <c r="M13" s="614">
        <f>IF(L13&lt;0.4,0.4,IF(AND(L13&gt;0.4,L13&lt;0.6),0.6,0.8))</f>
        <v>0.6</v>
      </c>
      <c r="N13" s="594"/>
      <c r="P13" s="616" t="s">
        <v>80</v>
      </c>
    </row>
    <row r="14" spans="1:16" ht="15" customHeight="1">
      <c r="A14" s="603"/>
      <c r="B14" s="604"/>
      <c r="C14" s="605"/>
      <c r="D14" s="606"/>
      <c r="E14" s="607"/>
      <c r="F14" s="608"/>
      <c r="G14" s="609"/>
      <c r="H14" s="610"/>
      <c r="I14" s="611"/>
      <c r="J14" s="612"/>
      <c r="K14" s="613"/>
      <c r="L14" s="613"/>
      <c r="M14" s="614"/>
      <c r="N14" s="594"/>
      <c r="P14" s="616"/>
    </row>
    <row r="15" spans="1:16" ht="15">
      <c r="A15" s="617">
        <v>4</v>
      </c>
      <c r="B15" s="618" t="s">
        <v>562</v>
      </c>
      <c r="C15" s="619">
        <v>11.92</v>
      </c>
      <c r="D15" s="620">
        <v>9.92</v>
      </c>
      <c r="E15" s="621">
        <v>40</v>
      </c>
      <c r="F15" s="622">
        <v>20</v>
      </c>
      <c r="G15" s="609">
        <f>ABS((C15-D15)/E15)</f>
        <v>0.05</v>
      </c>
      <c r="H15" s="610">
        <f>((F15*$P$6)/10000)</f>
        <v>0.12</v>
      </c>
      <c r="I15" s="611">
        <f>H15</f>
        <v>0.12</v>
      </c>
      <c r="J15" s="612">
        <v>0.8</v>
      </c>
      <c r="K15" s="613">
        <f>(2.78*J15*$P$9*I15)/1000</f>
        <v>0.024019199999999994</v>
      </c>
      <c r="L15" s="613">
        <f>1.55*(K15*$P$16/(G15^0.5))^0.375</f>
        <v>0.13173859621871511</v>
      </c>
      <c r="M15" s="614">
        <f>IF(L15&lt;0.4,0.4,IF(AND(L15&gt;0.4,L15&lt;0.6),0.6,0.8))</f>
        <v>0.4</v>
      </c>
      <c r="N15" s="594"/>
      <c r="P15" s="616"/>
    </row>
    <row r="16" spans="1:16" s="600" customFormat="1" ht="15" customHeight="1">
      <c r="A16" s="603" t="str">
        <f>B15</f>
        <v>CL 4</v>
      </c>
      <c r="B16" s="623" t="s">
        <v>563</v>
      </c>
      <c r="C16" s="605">
        <f>D15</f>
        <v>9.92</v>
      </c>
      <c r="D16" s="624">
        <v>9</v>
      </c>
      <c r="E16" s="607">
        <v>40</v>
      </c>
      <c r="F16" s="608">
        <v>40</v>
      </c>
      <c r="G16" s="609">
        <f>ABS((C16-D16)/E16)</f>
        <v>0.023</v>
      </c>
      <c r="H16" s="610">
        <f>((F16*$P$6)/10000)</f>
        <v>0.24</v>
      </c>
      <c r="I16" s="611">
        <f>H16+I15</f>
        <v>0.36</v>
      </c>
      <c r="J16" s="612">
        <v>0.8</v>
      </c>
      <c r="K16" s="613">
        <f>(2.78*J16*$P$9*I16)/1000</f>
        <v>0.07205759999999999</v>
      </c>
      <c r="L16" s="613">
        <f>1.55*(K16*$P$16/(G16^0.5))^0.375</f>
        <v>0.23007339891761766</v>
      </c>
      <c r="M16" s="614">
        <f>IF(L16&lt;0.4,0.4,IF(AND(L16&gt;0.4,L16&lt;0.6),0.6,0.8))</f>
        <v>0.4</v>
      </c>
      <c r="N16" s="599"/>
      <c r="P16" s="625">
        <v>0.013</v>
      </c>
    </row>
    <row r="17" spans="1:16" s="600" customFormat="1" ht="15" customHeight="1">
      <c r="A17" s="603" t="str">
        <f>B16</f>
        <v>CL 5</v>
      </c>
      <c r="B17" s="623">
        <v>3</v>
      </c>
      <c r="C17" s="605">
        <f>D16</f>
        <v>9</v>
      </c>
      <c r="D17" s="624">
        <v>8.89</v>
      </c>
      <c r="E17" s="607">
        <v>31</v>
      </c>
      <c r="F17" s="608">
        <v>40</v>
      </c>
      <c r="G17" s="609">
        <f>ABS((C17-D17)/E17)</f>
        <v>0.003548387096774175</v>
      </c>
      <c r="H17" s="610">
        <f>((F17*$P$6)/10000)</f>
        <v>0.24</v>
      </c>
      <c r="I17" s="611">
        <f>H17+I16</f>
        <v>0.6</v>
      </c>
      <c r="J17" s="612">
        <v>0.8</v>
      </c>
      <c r="K17" s="613">
        <f>(2.78*J17*$P$9*I17)/1000</f>
        <v>0.12009599999999998</v>
      </c>
      <c r="L17" s="613">
        <f>1.55*(K17*$P$16/(G17^0.5))^0.375</f>
        <v>0.3955968710725155</v>
      </c>
      <c r="M17" s="614">
        <f>IF(L17&lt;0.4,0.4,IF(AND(L17&gt;0.4,L17&lt;0.6),0.6,0.8))</f>
        <v>0.4</v>
      </c>
      <c r="N17" s="599"/>
      <c r="P17" s="625"/>
    </row>
    <row r="18" spans="1:14" ht="15" customHeight="1">
      <c r="A18" s="603"/>
      <c r="B18" s="604"/>
      <c r="C18" s="605"/>
      <c r="D18" s="606"/>
      <c r="E18" s="607"/>
      <c r="F18" s="608"/>
      <c r="G18" s="609"/>
      <c r="H18" s="610"/>
      <c r="I18" s="611"/>
      <c r="J18" s="612"/>
      <c r="K18" s="613"/>
      <c r="L18" s="613"/>
      <c r="M18" s="614"/>
      <c r="N18" s="594"/>
    </row>
    <row r="19" spans="1:14" ht="15" customHeight="1">
      <c r="A19" s="603">
        <v>5</v>
      </c>
      <c r="B19" s="604" t="s">
        <v>564</v>
      </c>
      <c r="C19" s="605">
        <v>12.92</v>
      </c>
      <c r="D19" s="606">
        <v>11.925</v>
      </c>
      <c r="E19" s="607">
        <v>30</v>
      </c>
      <c r="F19" s="608">
        <v>20</v>
      </c>
      <c r="G19" s="609">
        <f>ABS((C19-D19)/E19)</f>
        <v>0.03316666666666664</v>
      </c>
      <c r="H19" s="610">
        <f>((F19*$P$6)/10000)</f>
        <v>0.12</v>
      </c>
      <c r="I19" s="611">
        <f>H19</f>
        <v>0.12</v>
      </c>
      <c r="J19" s="612">
        <v>0.8</v>
      </c>
      <c r="K19" s="613">
        <f>(2.78*J19*$P$9*I19)/1000</f>
        <v>0.024019199999999994</v>
      </c>
      <c r="L19" s="613">
        <f>1.55*(K19*$P$16/(G19^0.5))^0.375</f>
        <v>0.1422781844821492</v>
      </c>
      <c r="M19" s="614">
        <f>IF(L19&lt;0.4,0.4,IF(AND(L19&gt;0.4,L19&lt;0.6),0.6,0.8))</f>
        <v>0.4</v>
      </c>
      <c r="N19" s="594"/>
    </row>
    <row r="20" spans="1:14" ht="15" customHeight="1">
      <c r="A20" s="603" t="str">
        <f>B19</f>
        <v>CL 6</v>
      </c>
      <c r="B20" s="604" t="s">
        <v>565</v>
      </c>
      <c r="C20" s="605">
        <f>D19</f>
        <v>11.925</v>
      </c>
      <c r="D20" s="606">
        <v>11.63</v>
      </c>
      <c r="E20" s="607">
        <v>30</v>
      </c>
      <c r="F20" s="608">
        <v>30</v>
      </c>
      <c r="G20" s="609">
        <f>ABS((C20-D20)/E20)</f>
        <v>0.009833333333333331</v>
      </c>
      <c r="H20" s="610">
        <f>((F20*$P$6)/10000)</f>
        <v>0.18</v>
      </c>
      <c r="I20" s="611">
        <f>H20+I19</f>
        <v>0.3</v>
      </c>
      <c r="J20" s="612">
        <v>0.8</v>
      </c>
      <c r="K20" s="613">
        <f>(2.78*J20*$P$9*I20)/1000</f>
        <v>0.06004799999999999</v>
      </c>
      <c r="L20" s="613">
        <f>1.55*(K20*$P$16/(G20^0.5))^0.375</f>
        <v>0.25197996872843226</v>
      </c>
      <c r="M20" s="614">
        <f>IF(L20&lt;0.4,0.4,IF(AND(L20&gt;0.4,L20&lt;0.6),0.6,0.8))</f>
        <v>0.4</v>
      </c>
      <c r="N20" s="594"/>
    </row>
    <row r="21" spans="1:14" ht="15" customHeight="1">
      <c r="A21" s="626" t="str">
        <f>B20</f>
        <v>CL 7</v>
      </c>
      <c r="B21" s="604">
        <v>6</v>
      </c>
      <c r="C21" s="605">
        <f>D20</f>
        <v>11.63</v>
      </c>
      <c r="D21" s="606">
        <v>11.57</v>
      </c>
      <c r="E21" s="607">
        <v>28</v>
      </c>
      <c r="F21" s="608">
        <v>30</v>
      </c>
      <c r="G21" s="609">
        <f>ABS((C21-D21)/E21)</f>
        <v>0.0021428571428571607</v>
      </c>
      <c r="H21" s="610">
        <f>((F21*$P$6)/10000)</f>
        <v>0.18</v>
      </c>
      <c r="I21" s="611">
        <f>H21+I20</f>
        <v>0.48</v>
      </c>
      <c r="J21" s="612">
        <v>0.8</v>
      </c>
      <c r="K21" s="613">
        <f>(2.78*J21*$P$9*I21)/1000</f>
        <v>0.09607679999999998</v>
      </c>
      <c r="L21" s="613">
        <f>1.55*(K21*$P$16/(G21^0.5))^0.375</f>
        <v>0.3999274143992496</v>
      </c>
      <c r="M21" s="614">
        <f>IF(L21&lt;0.4,0.4,IF(AND(L21&gt;0.4,L21&lt;0.6),0.6,0.8))</f>
        <v>0.4</v>
      </c>
      <c r="N21" s="594"/>
    </row>
    <row r="22" spans="1:14" ht="15" customHeight="1">
      <c r="A22" s="626">
        <f>B21</f>
        <v>6</v>
      </c>
      <c r="B22" s="604" t="s">
        <v>566</v>
      </c>
      <c r="C22" s="605">
        <v>11.37</v>
      </c>
      <c r="D22" s="606">
        <v>11.29</v>
      </c>
      <c r="E22" s="607">
        <v>40</v>
      </c>
      <c r="F22" s="608">
        <v>32</v>
      </c>
      <c r="G22" s="609">
        <f>ABS((C22-D22)/E22)</f>
        <v>0.0020000000000000018</v>
      </c>
      <c r="H22" s="610">
        <f>((F22*$P$6)/10000)</f>
        <v>0.192</v>
      </c>
      <c r="I22" s="611">
        <f>H22+I21</f>
        <v>0.6719999999999999</v>
      </c>
      <c r="J22" s="612">
        <v>0.8</v>
      </c>
      <c r="K22" s="613">
        <f>(2.78*J22*$P$9*I22)/1000</f>
        <v>0.13450751999999996</v>
      </c>
      <c r="L22" s="613">
        <f>1.55*(K22*$P$16/(G22^0.5))^0.375</f>
        <v>0.4596182799431724</v>
      </c>
      <c r="M22" s="614">
        <f>IF(L22&lt;0.4,0.4,IF(AND(L22&gt;0.4,L22&lt;0.6),0.6,0.8))</f>
        <v>0.6</v>
      </c>
      <c r="N22" s="594"/>
    </row>
    <row r="23" spans="1:14" s="600" customFormat="1" ht="15" customHeight="1" thickBot="1">
      <c r="A23" s="627"/>
      <c r="B23" s="604"/>
      <c r="C23" s="628"/>
      <c r="D23" s="624"/>
      <c r="E23" s="629"/>
      <c r="F23" s="630"/>
      <c r="G23" s="609"/>
      <c r="H23" s="631"/>
      <c r="I23" s="611"/>
      <c r="J23" s="612"/>
      <c r="K23" s="613"/>
      <c r="L23" s="613"/>
      <c r="M23" s="614"/>
      <c r="N23" s="599"/>
    </row>
    <row r="24" spans="1:14" s="600" customFormat="1" ht="15" customHeight="1">
      <c r="A24" s="868" t="s">
        <v>270</v>
      </c>
      <c r="B24" s="869"/>
      <c r="C24" s="869"/>
      <c r="D24" s="869"/>
      <c r="E24" s="870"/>
      <c r="F24" s="632" t="s">
        <v>503</v>
      </c>
      <c r="G24" s="633"/>
      <c r="H24" s="634"/>
      <c r="I24" s="635" t="s">
        <v>83</v>
      </c>
      <c r="J24" s="636"/>
      <c r="K24" s="636"/>
      <c r="L24" s="636"/>
      <c r="M24" s="637"/>
      <c r="N24" s="599"/>
    </row>
    <row r="25" spans="1:14" s="600" customFormat="1" ht="15" customHeight="1">
      <c r="A25" s="638"/>
      <c r="B25" s="639"/>
      <c r="C25" s="640"/>
      <c r="D25" s="641"/>
      <c r="E25" s="642"/>
      <c r="F25" s="643"/>
      <c r="G25" s="644"/>
      <c r="H25" s="645"/>
      <c r="I25" s="646"/>
      <c r="J25" s="647"/>
      <c r="K25" s="513"/>
      <c r="L25" s="856"/>
      <c r="M25" s="857"/>
      <c r="N25" s="599"/>
    </row>
    <row r="26" spans="1:13" ht="15">
      <c r="A26" s="648"/>
      <c r="B26" s="649"/>
      <c r="C26" s="650"/>
      <c r="D26" s="651"/>
      <c r="F26" s="652"/>
      <c r="G26" s="653"/>
      <c r="I26" s="654"/>
      <c r="J26" s="655"/>
      <c r="K26" s="587"/>
      <c r="L26" s="871"/>
      <c r="M26" s="872"/>
    </row>
    <row r="27" spans="1:13" ht="13.5" thickBot="1">
      <c r="A27" s="656"/>
      <c r="B27" s="657"/>
      <c r="C27" s="658"/>
      <c r="D27" s="659"/>
      <c r="E27" s="660"/>
      <c r="F27" s="661"/>
      <c r="G27" s="662"/>
      <c r="H27" s="660"/>
      <c r="I27" s="660"/>
      <c r="J27" s="663"/>
      <c r="K27" s="588"/>
      <c r="L27" s="664"/>
      <c r="M27" s="665"/>
    </row>
    <row r="28" spans="1:13" ht="15">
      <c r="A28" s="510"/>
      <c r="B28" s="666"/>
      <c r="C28" s="667"/>
      <c r="D28" s="667"/>
      <c r="E28" s="667"/>
      <c r="F28" s="667"/>
      <c r="G28" s="667"/>
      <c r="H28" s="667"/>
      <c r="I28" s="668"/>
      <c r="J28" s="669" t="s">
        <v>81</v>
      </c>
      <c r="K28" s="667"/>
      <c r="L28" s="667"/>
      <c r="M28" s="668"/>
    </row>
    <row r="29" spans="1:13" ht="15">
      <c r="A29" s="670"/>
      <c r="I29" s="512"/>
      <c r="J29" s="514"/>
      <c r="M29" s="512"/>
    </row>
    <row r="30" spans="1:13" ht="15">
      <c r="A30" s="670"/>
      <c r="I30" s="512"/>
      <c r="J30" s="860" t="s">
        <v>16</v>
      </c>
      <c r="K30" s="861"/>
      <c r="L30" s="861"/>
      <c r="M30" s="862"/>
    </row>
    <row r="31" spans="1:13" ht="15.75">
      <c r="A31" s="670"/>
      <c r="H31" s="672"/>
      <c r="I31" s="673"/>
      <c r="J31" s="875" t="str">
        <f>'[2]dados de entrada'!B6</f>
        <v>Carlos Alberto Bley</v>
      </c>
      <c r="K31" s="876"/>
      <c r="L31" s="876"/>
      <c r="M31" s="877"/>
    </row>
    <row r="32" spans="1:13" ht="15.75" thickBot="1">
      <c r="A32" s="674"/>
      <c r="B32" s="675"/>
      <c r="C32" s="676"/>
      <c r="D32" s="660"/>
      <c r="E32" s="676"/>
      <c r="F32" s="677"/>
      <c r="G32" s="678"/>
      <c r="H32" s="679"/>
      <c r="I32" s="680"/>
      <c r="J32" s="878" t="str">
        <f>'[2]dados de entrada'!B17</f>
        <v>Engenheiro Civil - CREA SC 008.333-3</v>
      </c>
      <c r="K32" s="879"/>
      <c r="L32" s="879"/>
      <c r="M32" s="880"/>
    </row>
    <row r="33" spans="1:14" s="600" customFormat="1" ht="15" customHeight="1">
      <c r="A33" s="511"/>
      <c r="B33" s="671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99"/>
    </row>
    <row r="34" spans="1:14" s="600" customFormat="1" ht="15" customHeight="1">
      <c r="A34" s="511"/>
      <c r="B34" s="671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99"/>
    </row>
    <row r="35" spans="1:14" s="600" customFormat="1" ht="15">
      <c r="A35" s="511"/>
      <c r="B35" s="671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99"/>
    </row>
  </sheetData>
  <sheetProtection/>
  <mergeCells count="21">
    <mergeCell ref="J31:M31"/>
    <mergeCell ref="J32:M32"/>
    <mergeCell ref="J6:J7"/>
    <mergeCell ref="K6:K7"/>
    <mergeCell ref="L6:M6"/>
    <mergeCell ref="F6:F7"/>
    <mergeCell ref="G6:G7"/>
    <mergeCell ref="H6:I6"/>
    <mergeCell ref="J30:M30"/>
    <mergeCell ref="A7:B7"/>
    <mergeCell ref="A8:M8"/>
    <mergeCell ref="A24:E24"/>
    <mergeCell ref="L26:M26"/>
    <mergeCell ref="A6:B6"/>
    <mergeCell ref="A1:M1"/>
    <mergeCell ref="A2:M2"/>
    <mergeCell ref="C3:M3"/>
    <mergeCell ref="C4:M4"/>
    <mergeCell ref="A5:M5"/>
    <mergeCell ref="L25:M25"/>
    <mergeCell ref="C6:D6"/>
  </mergeCells>
  <printOptions horizontalCentered="1"/>
  <pageMargins left="0.7874015748031497" right="0.4724409448818898" top="0.7874015748031497" bottom="0" header="0.1968503937007874" footer="0.2362204724409449"/>
  <pageSetup fitToHeight="1" fitToWidth="1" horizontalDpi="600" verticalDpi="600" orientation="landscape" paperSize="9" scale="95" r:id="rId33"/>
  <drawing r:id="rId32"/>
  <legacyDrawing r:id="rId31"/>
  <oleObjects>
    <oleObject progId="Equation.3" shapeId="3155539" r:id="rId1"/>
    <oleObject progId="Equation.3" shapeId="3155540" r:id="rId2"/>
    <oleObject progId="Equation.3" shapeId="3155541" r:id="rId3"/>
    <oleObject progId="Equation.3" shapeId="3155542" r:id="rId4"/>
    <oleObject progId="Equation.3" shapeId="3155543" r:id="rId5"/>
    <oleObject progId="Equation.3" shapeId="3155544" r:id="rId6"/>
    <oleObject progId="Equation.3" shapeId="3155545" r:id="rId7"/>
    <oleObject progId="Equation.3" shapeId="3155546" r:id="rId8"/>
    <oleObject progId="Equation.3" shapeId="3155547" r:id="rId9"/>
    <oleObject progId="Equation.3" shapeId="3155548" r:id="rId10"/>
    <oleObject progId="Equation.3" shapeId="3155549" r:id="rId11"/>
    <oleObject progId="Equation.3" shapeId="3155550" r:id="rId12"/>
    <oleObject progId="Equation.3" shapeId="3155551" r:id="rId13"/>
    <oleObject progId="Equation.3" shapeId="3155552" r:id="rId14"/>
    <oleObject progId="Equation.3" shapeId="3155553" r:id="rId15"/>
    <oleObject progId="Equation.3" shapeId="3155554" r:id="rId16"/>
    <oleObject progId="Equation.3" shapeId="3155555" r:id="rId17"/>
    <oleObject progId="Equation.3" shapeId="3155556" r:id="rId18"/>
    <oleObject progId="Equation.3" shapeId="3155557" r:id="rId19"/>
    <oleObject progId="Equation.3" shapeId="3155558" r:id="rId20"/>
    <oleObject progId="Equation.3" shapeId="3155559" r:id="rId21"/>
    <oleObject progId="Equation.3" shapeId="3155560" r:id="rId22"/>
    <oleObject progId="Equation.3" shapeId="3155561" r:id="rId23"/>
    <oleObject progId="Equation.3" shapeId="3155562" r:id="rId24"/>
    <oleObject progId="Equation.3" shapeId="3155563" r:id="rId25"/>
    <oleObject progId="Equation.3" shapeId="3155564" r:id="rId26"/>
    <oleObject progId="Equation.3" shapeId="3155565" r:id="rId27"/>
    <oleObject progId="Equation.3" shapeId="3155566" r:id="rId28"/>
    <oleObject progId="Equation.3" shapeId="3155567" r:id="rId29"/>
    <oleObject progId="Equation.3" shapeId="3155568" r:id="rId3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="85" zoomScaleNormal="85" workbookViewId="0" topLeftCell="A7">
      <selection activeCell="X23" sqref="X23"/>
    </sheetView>
  </sheetViews>
  <sheetFormatPr defaultColWidth="9.140625" defaultRowHeight="12.75"/>
  <cols>
    <col min="1" max="1" width="7.57421875" style="13" customWidth="1"/>
    <col min="2" max="2" width="6.421875" style="13" bestFit="1" customWidth="1"/>
    <col min="3" max="3" width="5.8515625" style="13" customWidth="1"/>
    <col min="4" max="4" width="11.421875" style="13" bestFit="1" customWidth="1"/>
    <col min="5" max="5" width="8.8515625" style="13" bestFit="1" customWidth="1"/>
    <col min="6" max="6" width="11.28125" style="13" bestFit="1" customWidth="1"/>
    <col min="7" max="7" width="9.28125" style="13" bestFit="1" customWidth="1"/>
    <col min="8" max="8" width="9.140625" style="13" bestFit="1" customWidth="1"/>
    <col min="9" max="9" width="10.57421875" style="13" bestFit="1" customWidth="1"/>
    <col min="10" max="10" width="11.140625" style="13" bestFit="1" customWidth="1"/>
    <col min="11" max="11" width="7.00390625" style="13" bestFit="1" customWidth="1"/>
    <col min="12" max="12" width="13.57421875" style="13" customWidth="1"/>
    <col min="13" max="13" width="9.57421875" style="13" bestFit="1" customWidth="1"/>
    <col min="14" max="14" width="14.57421875" style="13" bestFit="1" customWidth="1"/>
    <col min="15" max="15" width="16.140625" style="13" bestFit="1" customWidth="1"/>
    <col min="16" max="16" width="10.421875" style="13" customWidth="1"/>
    <col min="17" max="17" width="15.57421875" style="13" bestFit="1" customWidth="1"/>
    <col min="18" max="18" width="14.140625" style="13" bestFit="1" customWidth="1"/>
    <col min="19" max="19" width="15.00390625" style="13" customWidth="1"/>
    <col min="20" max="20" width="10.421875" style="13" customWidth="1"/>
    <col min="21" max="22" width="9.140625" style="13" customWidth="1"/>
    <col min="23" max="23" width="10.00390625" style="13" bestFit="1" customWidth="1"/>
    <col min="24" max="24" width="24.421875" style="13" customWidth="1"/>
    <col min="25" max="25" width="17.00390625" style="13" customWidth="1"/>
    <col min="26" max="16384" width="9.140625" style="13" customWidth="1"/>
  </cols>
  <sheetData>
    <row r="1" spans="1:18" ht="18">
      <c r="A1" s="917" t="s">
        <v>57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</row>
    <row r="2" spans="1:18" ht="27" thickBot="1">
      <c r="A2" s="918" t="str">
        <f>'dados de entrada'!B15</f>
        <v>PREFEITURA MUNICIPAL DE BOMBINHAS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</row>
    <row r="3" spans="1:18" ht="21" thickBot="1">
      <c r="A3" s="14" t="s">
        <v>58</v>
      </c>
      <c r="B3" s="15"/>
      <c r="C3" s="15"/>
      <c r="D3" s="924" t="str">
        <f>'dados de entrada'!B8</f>
        <v>PAVIMENTAÇÃO COM LAJOTAS SEXTAVADAS E DRENAGEM PLUVIAL </v>
      </c>
      <c r="E3" s="924"/>
      <c r="F3" s="924"/>
      <c r="G3" s="924"/>
      <c r="H3" s="924"/>
      <c r="I3" s="924"/>
      <c r="J3" s="924"/>
      <c r="K3" s="924"/>
      <c r="L3" s="925"/>
      <c r="M3" s="919" t="s">
        <v>59</v>
      </c>
      <c r="N3" s="920"/>
      <c r="O3" s="138">
        <f>'dados de entrada'!B3</f>
        <v>41730</v>
      </c>
      <c r="P3" s="926"/>
      <c r="Q3" s="927"/>
      <c r="R3" s="928"/>
    </row>
    <row r="4" spans="1:18" ht="18.75" thickBot="1">
      <c r="A4" s="14" t="s">
        <v>60</v>
      </c>
      <c r="B4" s="16"/>
      <c r="C4" s="16"/>
      <c r="D4" s="924" t="str">
        <f>'dados de entrada'!C19</f>
        <v>RUA MERGULHÃO CAÇADOR - BAIRRO BOMBAS</v>
      </c>
      <c r="E4" s="924"/>
      <c r="F4" s="924"/>
      <c r="G4" s="924"/>
      <c r="H4" s="924"/>
      <c r="I4" s="924"/>
      <c r="J4" s="924"/>
      <c r="K4" s="924"/>
      <c r="L4" s="925"/>
      <c r="M4" s="929" t="s">
        <v>61</v>
      </c>
      <c r="N4" s="930"/>
      <c r="O4" s="930"/>
      <c r="P4" s="930"/>
      <c r="Q4" s="930"/>
      <c r="R4" s="931"/>
    </row>
    <row r="5" spans="1:18" ht="21" thickBot="1">
      <c r="A5" s="921" t="s">
        <v>136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3"/>
    </row>
    <row r="6" spans="1:18" ht="21" thickBot="1">
      <c r="A6" s="934" t="s">
        <v>84</v>
      </c>
      <c r="B6" s="934"/>
      <c r="C6" s="934"/>
      <c r="D6" s="934"/>
      <c r="E6" s="934"/>
      <c r="F6" s="934"/>
      <c r="G6" s="934"/>
      <c r="H6" s="934"/>
      <c r="I6" s="934"/>
      <c r="J6" s="934"/>
      <c r="K6" s="934"/>
      <c r="L6" s="934"/>
      <c r="M6" s="934"/>
      <c r="N6" s="934"/>
      <c r="O6" s="934"/>
      <c r="P6" s="934"/>
      <c r="Q6" s="934"/>
      <c r="R6" s="934"/>
    </row>
    <row r="7" spans="1:18" s="28" customFormat="1" ht="45.75" thickBot="1">
      <c r="A7" s="17"/>
      <c r="B7" s="17"/>
      <c r="C7" s="17"/>
      <c r="D7" s="18"/>
      <c r="E7" s="18"/>
      <c r="F7" s="19" t="s">
        <v>85</v>
      </c>
      <c r="G7" s="18"/>
      <c r="H7" s="20" t="s">
        <v>86</v>
      </c>
      <c r="I7" s="21"/>
      <c r="J7" s="22" t="s">
        <v>87</v>
      </c>
      <c r="K7" s="23"/>
      <c r="L7" s="24" t="s">
        <v>88</v>
      </c>
      <c r="M7" s="25" t="s">
        <v>89</v>
      </c>
      <c r="N7" s="26" t="s">
        <v>100</v>
      </c>
      <c r="O7" s="18"/>
      <c r="P7" s="18"/>
      <c r="Q7" s="20" t="s">
        <v>101</v>
      </c>
      <c r="R7" s="27" t="s">
        <v>90</v>
      </c>
    </row>
    <row r="8" spans="1:18" s="28" customFormat="1" ht="15.75" thickBot="1">
      <c r="A8" s="29"/>
      <c r="B8" s="29"/>
      <c r="C8" s="29"/>
      <c r="D8" s="30"/>
      <c r="E8" s="30"/>
      <c r="F8" s="53">
        <v>116</v>
      </c>
      <c r="G8" s="30"/>
      <c r="H8" s="31">
        <v>0.3</v>
      </c>
      <c r="I8" s="32"/>
      <c r="J8" s="33">
        <v>1.2</v>
      </c>
      <c r="K8" s="34"/>
      <c r="L8" s="35">
        <v>0.39</v>
      </c>
      <c r="M8" s="36">
        <v>0.6</v>
      </c>
      <c r="N8" s="37">
        <f>M8*F8*J8</f>
        <v>83.52</v>
      </c>
      <c r="O8" s="30"/>
      <c r="P8" s="30"/>
      <c r="Q8" s="38">
        <f>(((PI()*(L8^2))/4))*F8</f>
        <v>13.857251035719221</v>
      </c>
      <c r="R8" s="33">
        <f>N8-(Q8)</f>
        <v>69.66274896428078</v>
      </c>
    </row>
    <row r="9" spans="1:18" ht="21" thickBot="1">
      <c r="A9" s="934" t="s">
        <v>91</v>
      </c>
      <c r="B9" s="934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</row>
    <row r="10" spans="1:23" s="39" customFormat="1" ht="60">
      <c r="A10" s="935" t="s">
        <v>92</v>
      </c>
      <c r="B10" s="936"/>
      <c r="C10" s="56" t="s">
        <v>258</v>
      </c>
      <c r="D10" s="56" t="s">
        <v>102</v>
      </c>
      <c r="E10" s="56" t="s">
        <v>103</v>
      </c>
      <c r="F10" s="56" t="s">
        <v>93</v>
      </c>
      <c r="G10" s="56" t="s">
        <v>94</v>
      </c>
      <c r="H10" s="56" t="s">
        <v>86</v>
      </c>
      <c r="I10" s="56" t="s">
        <v>159</v>
      </c>
      <c r="J10" s="56" t="s">
        <v>104</v>
      </c>
      <c r="K10" s="56" t="s">
        <v>95</v>
      </c>
      <c r="L10" s="56" t="s">
        <v>88</v>
      </c>
      <c r="M10" s="56" t="s">
        <v>89</v>
      </c>
      <c r="N10" s="56" t="s">
        <v>105</v>
      </c>
      <c r="O10" s="56" t="s">
        <v>138</v>
      </c>
      <c r="P10" s="56" t="s">
        <v>511</v>
      </c>
      <c r="Q10" s="56" t="s">
        <v>101</v>
      </c>
      <c r="R10" s="27" t="s">
        <v>106</v>
      </c>
      <c r="S10" s="317" t="s">
        <v>158</v>
      </c>
      <c r="T10" s="18"/>
      <c r="U10" s="17"/>
      <c r="V10" s="17"/>
      <c r="W10" s="17"/>
    </row>
    <row r="11" spans="1:23" s="40" customFormat="1" ht="15" hidden="1">
      <c r="A11" s="65" t="e">
        <f>#REF!</f>
        <v>#REF!</v>
      </c>
      <c r="B11" s="64" t="e">
        <f>#REF!</f>
        <v>#REF!</v>
      </c>
      <c r="C11" s="169"/>
      <c r="D11" s="55"/>
      <c r="E11" s="55"/>
      <c r="F11" s="55"/>
      <c r="G11" s="55"/>
      <c r="H11" s="55"/>
      <c r="I11" s="55"/>
      <c r="J11" s="55"/>
      <c r="K11" s="55"/>
      <c r="L11" s="57"/>
      <c r="M11" s="55"/>
      <c r="N11" s="55"/>
      <c r="O11" s="161"/>
      <c r="P11" s="55"/>
      <c r="Q11" s="55"/>
      <c r="R11" s="55"/>
      <c r="S11" s="318"/>
      <c r="T11" s="316"/>
      <c r="U11" s="228"/>
      <c r="V11" s="228"/>
      <c r="W11" s="228"/>
    </row>
    <row r="12" spans="1:23" s="40" customFormat="1" ht="15" hidden="1">
      <c r="A12" s="65" t="e">
        <f>#REF!</f>
        <v>#REF!</v>
      </c>
      <c r="B12" s="64" t="e">
        <f>#REF!</f>
        <v>#REF!</v>
      </c>
      <c r="C12" s="169"/>
      <c r="D12" s="55"/>
      <c r="E12" s="55"/>
      <c r="F12" s="55"/>
      <c r="G12" s="55"/>
      <c r="H12" s="55"/>
      <c r="I12" s="55"/>
      <c r="J12" s="55"/>
      <c r="K12" s="55"/>
      <c r="L12" s="57"/>
      <c r="M12" s="55"/>
      <c r="N12" s="55"/>
      <c r="O12" s="161"/>
      <c r="P12" s="55"/>
      <c r="Q12" s="55"/>
      <c r="R12" s="55"/>
      <c r="S12" s="318"/>
      <c r="T12" s="316"/>
      <c r="U12" s="228"/>
      <c r="V12" s="228"/>
      <c r="W12" s="228"/>
    </row>
    <row r="13" spans="1:23" s="224" customFormat="1" ht="15" hidden="1">
      <c r="A13" s="65" t="e">
        <f>#REF!</f>
        <v>#REF!</v>
      </c>
      <c r="B13" s="64" t="e">
        <f>#REF!</f>
        <v>#REF!</v>
      </c>
      <c r="C13" s="221"/>
      <c r="D13" s="222"/>
      <c r="E13" s="222"/>
      <c r="F13" s="55"/>
      <c r="G13" s="222"/>
      <c r="H13" s="55"/>
      <c r="I13" s="222"/>
      <c r="J13" s="55"/>
      <c r="K13" s="55"/>
      <c r="L13" s="57"/>
      <c r="M13" s="222"/>
      <c r="N13" s="222"/>
      <c r="O13" s="223"/>
      <c r="P13" s="55"/>
      <c r="Q13" s="222"/>
      <c r="R13" s="222"/>
      <c r="S13" s="319"/>
      <c r="T13" s="316"/>
      <c r="U13" s="229"/>
      <c r="V13" s="325" t="e">
        <f>J11+J13+J15+J16+J18+J20+#REF!+#REF!+#REF!</f>
        <v>#REF!</v>
      </c>
      <c r="W13" s="229"/>
    </row>
    <row r="14" spans="1:23" s="224" customFormat="1" ht="15" hidden="1">
      <c r="A14" s="65" t="e">
        <f>#REF!</f>
        <v>#REF!</v>
      </c>
      <c r="B14" s="64" t="e">
        <f>#REF!</f>
        <v>#REF!</v>
      </c>
      <c r="C14" s="221"/>
      <c r="D14" s="222"/>
      <c r="E14" s="222"/>
      <c r="F14" s="55"/>
      <c r="G14" s="222"/>
      <c r="H14" s="55"/>
      <c r="I14" s="222"/>
      <c r="J14" s="55"/>
      <c r="K14" s="55"/>
      <c r="L14" s="57"/>
      <c r="M14" s="222"/>
      <c r="N14" s="222"/>
      <c r="O14" s="223"/>
      <c r="P14" s="55"/>
      <c r="Q14" s="222"/>
      <c r="R14" s="222"/>
      <c r="S14" s="319"/>
      <c r="T14" s="316"/>
      <c r="U14" s="229"/>
      <c r="V14" s="229"/>
      <c r="W14" s="229"/>
    </row>
    <row r="15" spans="1:23" s="40" customFormat="1" ht="15">
      <c r="A15" s="335" t="str">
        <f>Drenagem!A9</f>
        <v>PV1</v>
      </c>
      <c r="B15" s="336" t="str">
        <f>Drenagem!B9</f>
        <v>CL1</v>
      </c>
      <c r="C15" s="221"/>
      <c r="D15" s="222">
        <v>1</v>
      </c>
      <c r="E15" s="222">
        <v>1</v>
      </c>
      <c r="F15" s="222">
        <f>Drenagem!E9</f>
        <v>40</v>
      </c>
      <c r="G15" s="222">
        <v>1</v>
      </c>
      <c r="H15" s="222">
        <f>Drenagem!M9</f>
        <v>0.4</v>
      </c>
      <c r="I15" s="222">
        <f>G15*F15</f>
        <v>40</v>
      </c>
      <c r="J15" s="222">
        <f>ROUND(AVERAGE(D15:E15),2)</f>
        <v>1</v>
      </c>
      <c r="K15" s="222">
        <f>IF(H15=0.4,0.2,IF(H15=0.6,0.35,IF(H15=0.8,0.4,IF(H15=1,0.45,IF(H15=1.2,0.5,IF(H15=1.5,0.6))))))</f>
        <v>0.2</v>
      </c>
      <c r="L15" s="337">
        <f>IF(H15=0.4,0.49,IF(H15=0.6,0.72,IF(H15=0.8,0.95,IF(H15=1,1.16,IF(H15=1.2,1.4,IF(H15=1.5,1.7))))))</f>
        <v>0.49</v>
      </c>
      <c r="M15" s="222">
        <f>IF(G15=1,(L15*G15)+(K15*2),((L15*G15)+(K15*2)+0.3))</f>
        <v>0.89</v>
      </c>
      <c r="N15" s="222">
        <f>IF(J15&lt;=1.5,F15*J15*M15,F15*1.5*M15)</f>
        <v>35.6</v>
      </c>
      <c r="O15" s="223" t="str">
        <f>IF(J15&gt;1.5,((J15-1.5)*M15*F15),"0")</f>
        <v>0</v>
      </c>
      <c r="P15" s="222">
        <f>0.6*0.06*F15</f>
        <v>1.44</v>
      </c>
      <c r="Q15" s="222">
        <f>(((PI()*(L15^2))/4)*G15)*F15</f>
        <v>7.542963961269092</v>
      </c>
      <c r="R15" s="222">
        <f>(N15+O15)-(P15+Q15)</f>
        <v>26.61703603873091</v>
      </c>
      <c r="S15" s="319">
        <f>IF(J15&lt;=1.5,0,(F15*2)*J15)</f>
        <v>0</v>
      </c>
      <c r="T15" s="316"/>
      <c r="U15" s="228"/>
      <c r="V15" s="228"/>
      <c r="W15" s="228"/>
    </row>
    <row r="16" spans="1:23" s="40" customFormat="1" ht="15">
      <c r="A16" s="335" t="str">
        <f>Drenagem!A10</f>
        <v>CL1</v>
      </c>
      <c r="B16" s="336" t="str">
        <f>Drenagem!B10</f>
        <v>CL 2</v>
      </c>
      <c r="C16" s="221"/>
      <c r="D16" s="222">
        <f>E15</f>
        <v>1</v>
      </c>
      <c r="E16" s="222">
        <v>1</v>
      </c>
      <c r="F16" s="222">
        <f>Drenagem!E10</f>
        <v>40</v>
      </c>
      <c r="G16" s="222">
        <v>1</v>
      </c>
      <c r="H16" s="222">
        <f>Drenagem!M10</f>
        <v>0.4</v>
      </c>
      <c r="I16" s="222">
        <f>G16*F16</f>
        <v>40</v>
      </c>
      <c r="J16" s="222">
        <f>ROUND(AVERAGE(D16:E16),2)</f>
        <v>1</v>
      </c>
      <c r="K16" s="222">
        <f aca="true" t="shared" si="0" ref="K16:K28">IF(H16=0.4,0.2,IF(H16=0.6,0.35,IF(H16=0.8,0.4,IF(H16=1,0.45,IF(H16=1.2,0.5,IF(H16=1.5,0.6))))))</f>
        <v>0.2</v>
      </c>
      <c r="L16" s="337">
        <f>IF(H16=0.4,0.49,IF(H16=0.6,0.72,IF(H16=0.8,0.95,IF(H16=1,1.16,IF(H16=1.2,1.4,IF(H16=1.5,1.7))))))</f>
        <v>0.49</v>
      </c>
      <c r="M16" s="222">
        <f>IF(G16=1,(L16*G16)+(K16*2),((L16*G16)+(K16*2)+0.3))</f>
        <v>0.89</v>
      </c>
      <c r="N16" s="222">
        <f>IF(J16&lt;=1.5,F16*J16*M16,F16*1.5*M16)</f>
        <v>35.6</v>
      </c>
      <c r="O16" s="223" t="str">
        <f>IF(J16&gt;1.5,((J16-1.5)*M16*F16),"0")</f>
        <v>0</v>
      </c>
      <c r="P16" s="222">
        <f>0.6*0.06*F16</f>
        <v>1.44</v>
      </c>
      <c r="Q16" s="222">
        <f>(((PI()*(L16^2))/4)*G16)*F16</f>
        <v>7.542963961269092</v>
      </c>
      <c r="R16" s="222">
        <f>(N16+O16)-(P16+Q16)</f>
        <v>26.61703603873091</v>
      </c>
      <c r="S16" s="319">
        <f>IF(J16&lt;=1.5,0,(F16*2)*J16)</f>
        <v>0</v>
      </c>
      <c r="T16" s="316"/>
      <c r="U16" s="228"/>
      <c r="V16" s="228"/>
      <c r="W16" s="228"/>
    </row>
    <row r="17" spans="1:23" s="40" customFormat="1" ht="15">
      <c r="A17" s="335" t="str">
        <f>Drenagem!A11</f>
        <v>CL 2</v>
      </c>
      <c r="B17" s="336" t="str">
        <f>Drenagem!B11</f>
        <v>PV 2</v>
      </c>
      <c r="C17" s="221"/>
      <c r="D17" s="222">
        <f>E16</f>
        <v>1</v>
      </c>
      <c r="E17" s="222">
        <v>1.07</v>
      </c>
      <c r="F17" s="222">
        <f>Drenagem!E11</f>
        <v>40</v>
      </c>
      <c r="G17" s="222">
        <v>1</v>
      </c>
      <c r="H17" s="222">
        <f>Drenagem!M11</f>
        <v>0.4</v>
      </c>
      <c r="I17" s="222">
        <f>G17*F17</f>
        <v>40</v>
      </c>
      <c r="J17" s="222">
        <f>ROUND(AVERAGE(D17:E17),2)</f>
        <v>1.04</v>
      </c>
      <c r="K17" s="222">
        <f t="shared" si="0"/>
        <v>0.2</v>
      </c>
      <c r="L17" s="337">
        <f>IF(H17=0.4,0.49,IF(H17=0.6,0.72,IF(H17=0.8,0.95,IF(H17=1,1.16,IF(H17=1.2,1.4,IF(H17=1.5,1.7))))))</f>
        <v>0.49</v>
      </c>
      <c r="M17" s="222">
        <f>IF(G17=1,(L17*G17)+(K17*2),((L17*G17)+(K17*2)+0.3))</f>
        <v>0.89</v>
      </c>
      <c r="N17" s="222">
        <f>IF(J17&lt;=1.5,F17*J17*M17,F17*1.5*M17)</f>
        <v>37.024</v>
      </c>
      <c r="O17" s="223" t="str">
        <f>IF(J17&gt;1.5,((J17-1.5)*M17*F17),"0")</f>
        <v>0</v>
      </c>
      <c r="P17" s="222">
        <f>0.6*0.06*F17</f>
        <v>1.44</v>
      </c>
      <c r="Q17" s="222">
        <f>(((PI()*(L17^2))/4)*G17)*F17</f>
        <v>7.542963961269092</v>
      </c>
      <c r="R17" s="222">
        <f>(N17+O17)-(P17+Q17)</f>
        <v>28.04103603873091</v>
      </c>
      <c r="S17" s="319">
        <f>IF(J17&lt;=1.5,0,(F17*2)*J17)</f>
        <v>0</v>
      </c>
      <c r="T17" s="316"/>
      <c r="U17" s="228"/>
      <c r="V17" s="228"/>
      <c r="W17" s="228"/>
    </row>
    <row r="18" spans="1:23" s="40" customFormat="1" ht="15">
      <c r="A18" s="335" t="str">
        <f>Drenagem!A12</f>
        <v>PV 2</v>
      </c>
      <c r="B18" s="336" t="str">
        <f>Drenagem!B12</f>
        <v>CL 3</v>
      </c>
      <c r="C18" s="221"/>
      <c r="D18" s="222">
        <f>E17</f>
        <v>1.07</v>
      </c>
      <c r="E18" s="222">
        <v>1.26</v>
      </c>
      <c r="F18" s="222">
        <f>Drenagem!E12</f>
        <v>40</v>
      </c>
      <c r="G18" s="222">
        <v>1</v>
      </c>
      <c r="H18" s="222">
        <f>Drenagem!M12</f>
        <v>0.4</v>
      </c>
      <c r="I18" s="222">
        <f>G18*F18</f>
        <v>40</v>
      </c>
      <c r="J18" s="222">
        <f>ROUND(AVERAGE(D18:E18),2)</f>
        <v>1.17</v>
      </c>
      <c r="K18" s="222">
        <f t="shared" si="0"/>
        <v>0.2</v>
      </c>
      <c r="L18" s="337">
        <f>IF(H18=0.4,0.49,IF(H18=0.6,0.72,IF(H18=0.8,0.95,IF(H18=1,1.16,IF(H18=1.2,1.4,IF(H18=1.5,1.7))))))</f>
        <v>0.49</v>
      </c>
      <c r="M18" s="222">
        <f>IF(G18=1,(L18*G18)+(K18*2),((L18*G18)+(K18*2)+0.3))</f>
        <v>0.89</v>
      </c>
      <c r="N18" s="222">
        <f>IF(J18&lt;=1.5,F18*J18*M18,F18*1.5*M18)</f>
        <v>41.652</v>
      </c>
      <c r="O18" s="223" t="str">
        <f>IF(J18&gt;1.5,((J18-1.5)*M18*F18),"0")</f>
        <v>0</v>
      </c>
      <c r="P18" s="222">
        <f>0.6*0.06*F18</f>
        <v>1.44</v>
      </c>
      <c r="Q18" s="222">
        <f>(((PI()*(L18^2))/4)*G18)*F18</f>
        <v>7.542963961269092</v>
      </c>
      <c r="R18" s="222">
        <f>(N18+O18)-(P18+Q18)</f>
        <v>32.66903603873091</v>
      </c>
      <c r="S18" s="319">
        <f>IF(J18&lt;=1.5,0,(F18*2)*J18)</f>
        <v>0</v>
      </c>
      <c r="T18" s="316"/>
      <c r="U18" s="228"/>
      <c r="V18" s="228"/>
      <c r="W18" s="228"/>
    </row>
    <row r="19" spans="1:23" s="40" customFormat="1" ht="15">
      <c r="A19" s="335" t="str">
        <f>Drenagem!A13</f>
        <v>CL 3</v>
      </c>
      <c r="B19" s="336" t="str">
        <f>Drenagem!B13</f>
        <v>PV 3</v>
      </c>
      <c r="C19" s="221"/>
      <c r="D19" s="222">
        <v>1.46</v>
      </c>
      <c r="E19" s="222">
        <v>1.43</v>
      </c>
      <c r="F19" s="222">
        <f>Drenagem!E13</f>
        <v>29</v>
      </c>
      <c r="G19" s="222">
        <v>1</v>
      </c>
      <c r="H19" s="222">
        <f>Drenagem!M13</f>
        <v>0.6</v>
      </c>
      <c r="I19" s="222">
        <f>G19*F19</f>
        <v>29</v>
      </c>
      <c r="J19" s="222">
        <f>ROUND(AVERAGE(D19:E19),2)</f>
        <v>1.45</v>
      </c>
      <c r="K19" s="222">
        <f t="shared" si="0"/>
        <v>0.35</v>
      </c>
      <c r="L19" s="337">
        <f>IF(H19=0.4,0.49,IF(H19=0.6,0.72,IF(H19=0.8,0.95,IF(H19=1,1.16,IF(H19=1.2,1.4,IF(H19=1.5,1.7))))))</f>
        <v>0.72</v>
      </c>
      <c r="M19" s="222">
        <f>IF(G19=1,(L19*G19)+(K19*2),((L19*G19)+(K19*2)+0.3))</f>
        <v>1.42</v>
      </c>
      <c r="N19" s="222">
        <f>IF(J19&lt;=1.5,F19*J19*M19,F19*1.5*M19)</f>
        <v>59.71099999999999</v>
      </c>
      <c r="O19" s="223" t="str">
        <f>IF(J19&gt;1.5,((J19-1.5)*M19*F19),"0")</f>
        <v>0</v>
      </c>
      <c r="P19" s="222">
        <f>0.6*0.06*F19</f>
        <v>1.0439999999999998</v>
      </c>
      <c r="Q19" s="222">
        <f>(((PI()*(L19^2))/4)*G19)*F19</f>
        <v>11.807361829251878</v>
      </c>
      <c r="R19" s="222">
        <f>(N19+O19)-(P19+Q19)</f>
        <v>46.85963817074811</v>
      </c>
      <c r="S19" s="319">
        <f>IF(J19&lt;=1.5,0,(F19*2)*J19)</f>
        <v>0</v>
      </c>
      <c r="T19" s="316"/>
      <c r="U19" s="228"/>
      <c r="V19" s="228"/>
      <c r="W19" s="228"/>
    </row>
    <row r="20" spans="1:23" s="40" customFormat="1" ht="15">
      <c r="A20" s="335"/>
      <c r="B20" s="336"/>
      <c r="C20" s="221"/>
      <c r="D20" s="222"/>
      <c r="E20" s="222"/>
      <c r="F20" s="222"/>
      <c r="G20" s="222"/>
      <c r="H20" s="222"/>
      <c r="I20" s="222"/>
      <c r="J20" s="222"/>
      <c r="K20" s="222"/>
      <c r="L20" s="337"/>
      <c r="M20" s="222"/>
      <c r="N20" s="222"/>
      <c r="O20" s="223"/>
      <c r="P20" s="222"/>
      <c r="Q20" s="222"/>
      <c r="R20" s="222"/>
      <c r="S20" s="319"/>
      <c r="T20" s="316"/>
      <c r="U20" s="228"/>
      <c r="V20" s="228"/>
      <c r="W20" s="228"/>
    </row>
    <row r="21" spans="1:23" s="40" customFormat="1" ht="15">
      <c r="A21" s="335">
        <f>Drenagem!A15</f>
        <v>4</v>
      </c>
      <c r="B21" s="336" t="str">
        <f>Drenagem!B15</f>
        <v>CL 4</v>
      </c>
      <c r="C21" s="221"/>
      <c r="D21" s="222">
        <v>1</v>
      </c>
      <c r="E21" s="222">
        <v>1</v>
      </c>
      <c r="F21" s="222">
        <f>Drenagem!E15</f>
        <v>40</v>
      </c>
      <c r="G21" s="222">
        <v>1</v>
      </c>
      <c r="H21" s="222">
        <f>Drenagem!M15</f>
        <v>0.4</v>
      </c>
      <c r="I21" s="222">
        <f aca="true" t="shared" si="1" ref="I21:I28">G21*F21</f>
        <v>40</v>
      </c>
      <c r="J21" s="222">
        <f aca="true" t="shared" si="2" ref="J21:J28">ROUND(AVERAGE(D21:E21),2)</f>
        <v>1</v>
      </c>
      <c r="K21" s="222">
        <f t="shared" si="0"/>
        <v>0.2</v>
      </c>
      <c r="L21" s="337">
        <f aca="true" t="shared" si="3" ref="L21:L28">IF(H21=0.4,0.49,IF(H21=0.6,0.72,IF(H21=0.8,0.95,IF(H21=1,1.16,IF(H21=1.2,1.4,IF(H21=1.5,1.7))))))</f>
        <v>0.49</v>
      </c>
      <c r="M21" s="222">
        <f aca="true" t="shared" si="4" ref="M21:M28">IF(G21=1,(L21*G21)+(K21*2),((L21*G21)+(K21*2)+0.3))</f>
        <v>0.89</v>
      </c>
      <c r="N21" s="222">
        <f aca="true" t="shared" si="5" ref="N21:N28">IF(J21&lt;=1.5,F21*J21*M21,F21*1.5*M21)</f>
        <v>35.6</v>
      </c>
      <c r="O21" s="223" t="str">
        <f aca="true" t="shared" si="6" ref="O21:O28">IF(J21&gt;1.5,((J21-1.5)*M21*F21),"0")</f>
        <v>0</v>
      </c>
      <c r="P21" s="222">
        <f aca="true" t="shared" si="7" ref="P21:P28">0.6*0.06*F21</f>
        <v>1.44</v>
      </c>
      <c r="Q21" s="222">
        <f aca="true" t="shared" si="8" ref="Q21:Q28">(((PI()*(L21^2))/4)*G21)*F21</f>
        <v>7.542963961269092</v>
      </c>
      <c r="R21" s="222">
        <f aca="true" t="shared" si="9" ref="R21:R28">(N21+O21)-(P21+Q21)</f>
        <v>26.61703603873091</v>
      </c>
      <c r="S21" s="319">
        <f aca="true" t="shared" si="10" ref="S21:S28">IF(J21&lt;=1.5,0,(F21*2)*J21)</f>
        <v>0</v>
      </c>
      <c r="T21" s="316"/>
      <c r="U21" s="228"/>
      <c r="V21" s="228"/>
      <c r="W21" s="228"/>
    </row>
    <row r="22" spans="1:23" s="40" customFormat="1" ht="15">
      <c r="A22" s="335" t="str">
        <f>Drenagem!A16</f>
        <v>CL 4</v>
      </c>
      <c r="B22" s="336" t="str">
        <f>Drenagem!B16</f>
        <v>CL 5</v>
      </c>
      <c r="C22" s="221"/>
      <c r="D22" s="222">
        <f>E21</f>
        <v>1</v>
      </c>
      <c r="E22" s="222">
        <v>1.13</v>
      </c>
      <c r="F22" s="222">
        <f>Drenagem!E16</f>
        <v>40</v>
      </c>
      <c r="G22" s="222">
        <v>1</v>
      </c>
      <c r="H22" s="222">
        <f>Drenagem!M16</f>
        <v>0.4</v>
      </c>
      <c r="I22" s="222">
        <f t="shared" si="1"/>
        <v>40</v>
      </c>
      <c r="J22" s="222">
        <f t="shared" si="2"/>
        <v>1.07</v>
      </c>
      <c r="K22" s="222">
        <f t="shared" si="0"/>
        <v>0.2</v>
      </c>
      <c r="L22" s="337">
        <f t="shared" si="3"/>
        <v>0.49</v>
      </c>
      <c r="M22" s="222">
        <f t="shared" si="4"/>
        <v>0.89</v>
      </c>
      <c r="N22" s="222">
        <f t="shared" si="5"/>
        <v>38.092000000000006</v>
      </c>
      <c r="O22" s="223" t="str">
        <f t="shared" si="6"/>
        <v>0</v>
      </c>
      <c r="P22" s="222">
        <f t="shared" si="7"/>
        <v>1.44</v>
      </c>
      <c r="Q22" s="222">
        <f t="shared" si="8"/>
        <v>7.542963961269092</v>
      </c>
      <c r="R22" s="222">
        <f t="shared" si="9"/>
        <v>29.109036038730913</v>
      </c>
      <c r="S22" s="319">
        <f t="shared" si="10"/>
        <v>0</v>
      </c>
      <c r="T22" s="316"/>
      <c r="U22" s="228"/>
      <c r="V22" s="228"/>
      <c r="W22" s="228"/>
    </row>
    <row r="23" spans="1:23" s="40" customFormat="1" ht="15">
      <c r="A23" s="335" t="str">
        <f>Drenagem!A17</f>
        <v>CL 5</v>
      </c>
      <c r="B23" s="336">
        <f>Drenagem!B17</f>
        <v>3</v>
      </c>
      <c r="C23" s="221"/>
      <c r="D23" s="222">
        <f>E22</f>
        <v>1.13</v>
      </c>
      <c r="E23" s="222">
        <v>0.82</v>
      </c>
      <c r="F23" s="222">
        <f>Drenagem!E17</f>
        <v>31</v>
      </c>
      <c r="G23" s="222">
        <v>1</v>
      </c>
      <c r="H23" s="222">
        <f>Drenagem!M17</f>
        <v>0.4</v>
      </c>
      <c r="I23" s="222">
        <f t="shared" si="1"/>
        <v>31</v>
      </c>
      <c r="J23" s="222">
        <f t="shared" si="2"/>
        <v>0.98</v>
      </c>
      <c r="K23" s="222">
        <f t="shared" si="0"/>
        <v>0.2</v>
      </c>
      <c r="L23" s="337">
        <f t="shared" si="3"/>
        <v>0.49</v>
      </c>
      <c r="M23" s="222">
        <f t="shared" si="4"/>
        <v>0.89</v>
      </c>
      <c r="N23" s="222">
        <f t="shared" si="5"/>
        <v>27.0382</v>
      </c>
      <c r="O23" s="223" t="str">
        <f t="shared" si="6"/>
        <v>0</v>
      </c>
      <c r="P23" s="222">
        <f t="shared" si="7"/>
        <v>1.1159999999999999</v>
      </c>
      <c r="Q23" s="222">
        <f t="shared" si="8"/>
        <v>5.845797069983546</v>
      </c>
      <c r="R23" s="222">
        <f t="shared" si="9"/>
        <v>20.076402930016453</v>
      </c>
      <c r="S23" s="319">
        <f t="shared" si="10"/>
        <v>0</v>
      </c>
      <c r="T23" s="316"/>
      <c r="U23" s="228"/>
      <c r="V23" s="228"/>
      <c r="W23" s="228"/>
    </row>
    <row r="24" spans="1:23" s="40" customFormat="1" ht="15">
      <c r="A24" s="335"/>
      <c r="B24" s="336"/>
      <c r="C24" s="221"/>
      <c r="D24" s="222"/>
      <c r="E24" s="222"/>
      <c r="F24" s="222"/>
      <c r="G24" s="222"/>
      <c r="H24" s="222"/>
      <c r="I24" s="222"/>
      <c r="J24" s="222"/>
      <c r="K24" s="222"/>
      <c r="L24" s="337"/>
      <c r="M24" s="222"/>
      <c r="N24" s="222"/>
      <c r="O24" s="223"/>
      <c r="P24" s="222"/>
      <c r="Q24" s="222"/>
      <c r="R24" s="222"/>
      <c r="S24" s="319"/>
      <c r="T24" s="316"/>
      <c r="U24" s="228"/>
      <c r="V24" s="228"/>
      <c r="W24" s="228"/>
    </row>
    <row r="25" spans="1:23" s="40" customFormat="1" ht="15">
      <c r="A25" s="335">
        <f>Drenagem!A19</f>
        <v>5</v>
      </c>
      <c r="B25" s="336" t="str">
        <f>Drenagem!B19</f>
        <v>CL 6</v>
      </c>
      <c r="C25" s="221"/>
      <c r="D25" s="222">
        <v>1</v>
      </c>
      <c r="E25" s="222">
        <v>1</v>
      </c>
      <c r="F25" s="222">
        <f>Drenagem!E19</f>
        <v>30</v>
      </c>
      <c r="G25" s="222">
        <v>1</v>
      </c>
      <c r="H25" s="222">
        <f>Drenagem!M19</f>
        <v>0.4</v>
      </c>
      <c r="I25" s="222">
        <f t="shared" si="1"/>
        <v>30</v>
      </c>
      <c r="J25" s="222">
        <f t="shared" si="2"/>
        <v>1</v>
      </c>
      <c r="K25" s="222">
        <f t="shared" si="0"/>
        <v>0.2</v>
      </c>
      <c r="L25" s="337">
        <f t="shared" si="3"/>
        <v>0.49</v>
      </c>
      <c r="M25" s="222">
        <f t="shared" si="4"/>
        <v>0.89</v>
      </c>
      <c r="N25" s="222">
        <f t="shared" si="5"/>
        <v>26.7</v>
      </c>
      <c r="O25" s="223" t="str">
        <f t="shared" si="6"/>
        <v>0</v>
      </c>
      <c r="P25" s="222">
        <f t="shared" si="7"/>
        <v>1.0799999999999998</v>
      </c>
      <c r="Q25" s="222">
        <f t="shared" si="8"/>
        <v>5.657222970951819</v>
      </c>
      <c r="R25" s="222">
        <f t="shared" si="9"/>
        <v>19.96277702904818</v>
      </c>
      <c r="S25" s="319">
        <f t="shared" si="10"/>
        <v>0</v>
      </c>
      <c r="T25" s="316"/>
      <c r="U25" s="228"/>
      <c r="V25" s="228"/>
      <c r="W25" s="228"/>
    </row>
    <row r="26" spans="1:24" s="40" customFormat="1" ht="15">
      <c r="A26" s="335" t="str">
        <f>Drenagem!A20</f>
        <v>CL 6</v>
      </c>
      <c r="B26" s="336" t="str">
        <f>Drenagem!B20</f>
        <v>CL 7</v>
      </c>
      <c r="C26" s="221"/>
      <c r="D26" s="222">
        <f>E25</f>
        <v>1</v>
      </c>
      <c r="E26" s="222">
        <v>0.7</v>
      </c>
      <c r="F26" s="222">
        <f>Drenagem!E20</f>
        <v>30</v>
      </c>
      <c r="G26" s="222">
        <v>1</v>
      </c>
      <c r="H26" s="222">
        <f>Drenagem!M20</f>
        <v>0.4</v>
      </c>
      <c r="I26" s="222">
        <f t="shared" si="1"/>
        <v>30</v>
      </c>
      <c r="J26" s="222">
        <f t="shared" si="2"/>
        <v>0.85</v>
      </c>
      <c r="K26" s="222">
        <f t="shared" si="0"/>
        <v>0.2</v>
      </c>
      <c r="L26" s="337">
        <f t="shared" si="3"/>
        <v>0.49</v>
      </c>
      <c r="M26" s="222">
        <f t="shared" si="4"/>
        <v>0.89</v>
      </c>
      <c r="N26" s="222">
        <f t="shared" si="5"/>
        <v>22.695</v>
      </c>
      <c r="O26" s="223" t="str">
        <f t="shared" si="6"/>
        <v>0</v>
      </c>
      <c r="P26" s="222">
        <f t="shared" si="7"/>
        <v>1.0799999999999998</v>
      </c>
      <c r="Q26" s="222">
        <f t="shared" si="8"/>
        <v>5.657222970951819</v>
      </c>
      <c r="R26" s="222">
        <f t="shared" si="9"/>
        <v>15.95777702904818</v>
      </c>
      <c r="S26" s="319">
        <f t="shared" si="10"/>
        <v>0</v>
      </c>
      <c r="T26" s="316"/>
      <c r="U26" s="228"/>
      <c r="V26" s="228"/>
      <c r="W26" s="228"/>
      <c r="X26" s="340" t="e">
        <f>15.9-#REF!-#REF!</f>
        <v>#REF!</v>
      </c>
    </row>
    <row r="27" spans="1:23" s="40" customFormat="1" ht="15">
      <c r="A27" s="335" t="str">
        <f>Drenagem!A21</f>
        <v>CL 7</v>
      </c>
      <c r="B27" s="336">
        <f>Drenagem!B21</f>
        <v>6</v>
      </c>
      <c r="C27" s="221"/>
      <c r="D27" s="222">
        <f>E26</f>
        <v>0.7</v>
      </c>
      <c r="E27" s="222">
        <v>1.8</v>
      </c>
      <c r="F27" s="222">
        <f>Drenagem!E21</f>
        <v>28</v>
      </c>
      <c r="G27" s="222">
        <v>1</v>
      </c>
      <c r="H27" s="222">
        <f>Drenagem!M21</f>
        <v>0.4</v>
      </c>
      <c r="I27" s="222">
        <f t="shared" si="1"/>
        <v>28</v>
      </c>
      <c r="J27" s="222">
        <f t="shared" si="2"/>
        <v>1.25</v>
      </c>
      <c r="K27" s="222">
        <f t="shared" si="0"/>
        <v>0.2</v>
      </c>
      <c r="L27" s="337">
        <f t="shared" si="3"/>
        <v>0.49</v>
      </c>
      <c r="M27" s="222">
        <f t="shared" si="4"/>
        <v>0.89</v>
      </c>
      <c r="N27" s="222">
        <f t="shared" si="5"/>
        <v>31.150000000000002</v>
      </c>
      <c r="O27" s="223" t="str">
        <f t="shared" si="6"/>
        <v>0</v>
      </c>
      <c r="P27" s="222">
        <f t="shared" si="7"/>
        <v>1.008</v>
      </c>
      <c r="Q27" s="222">
        <f t="shared" si="8"/>
        <v>5.280074772888365</v>
      </c>
      <c r="R27" s="222">
        <f t="shared" si="9"/>
        <v>24.861925227111637</v>
      </c>
      <c r="S27" s="319">
        <f t="shared" si="10"/>
        <v>0</v>
      </c>
      <c r="T27" s="316"/>
      <c r="U27" s="228"/>
      <c r="V27" s="228"/>
      <c r="W27" s="228"/>
    </row>
    <row r="28" spans="1:23" s="40" customFormat="1" ht="15">
      <c r="A28" s="335">
        <f>Drenagem!A22</f>
        <v>6</v>
      </c>
      <c r="B28" s="336" t="str">
        <f>Drenagem!B22</f>
        <v>B B</v>
      </c>
      <c r="C28" s="338"/>
      <c r="D28" s="339">
        <v>2</v>
      </c>
      <c r="E28" s="339">
        <v>2</v>
      </c>
      <c r="F28" s="222">
        <f>Drenagem!E22</f>
        <v>40</v>
      </c>
      <c r="G28" s="222">
        <v>1</v>
      </c>
      <c r="H28" s="222">
        <f>Drenagem!M22</f>
        <v>0.6</v>
      </c>
      <c r="I28" s="222">
        <f t="shared" si="1"/>
        <v>40</v>
      </c>
      <c r="J28" s="222">
        <f t="shared" si="2"/>
        <v>2</v>
      </c>
      <c r="K28" s="222">
        <f t="shared" si="0"/>
        <v>0.35</v>
      </c>
      <c r="L28" s="337">
        <f t="shared" si="3"/>
        <v>0.72</v>
      </c>
      <c r="M28" s="222">
        <f t="shared" si="4"/>
        <v>1.42</v>
      </c>
      <c r="N28" s="222">
        <f t="shared" si="5"/>
        <v>85.19999999999999</v>
      </c>
      <c r="O28" s="223">
        <f t="shared" si="6"/>
        <v>28.4</v>
      </c>
      <c r="P28" s="222">
        <f t="shared" si="7"/>
        <v>1.44</v>
      </c>
      <c r="Q28" s="222">
        <f t="shared" si="8"/>
        <v>16.286016316209487</v>
      </c>
      <c r="R28" s="222">
        <f t="shared" si="9"/>
        <v>95.8739836837905</v>
      </c>
      <c r="S28" s="319">
        <f t="shared" si="10"/>
        <v>160</v>
      </c>
      <c r="T28" s="316"/>
      <c r="U28" s="228"/>
      <c r="V28" s="228"/>
      <c r="W28" s="228"/>
    </row>
    <row r="29" spans="1:23" s="40" customFormat="1" ht="15.75" thickBot="1">
      <c r="A29" s="175"/>
      <c r="B29" s="174"/>
      <c r="C29" s="170"/>
      <c r="D29" s="58"/>
      <c r="E29" s="58"/>
      <c r="F29" s="58"/>
      <c r="G29" s="58"/>
      <c r="H29" s="58"/>
      <c r="I29" s="58"/>
      <c r="J29" s="58"/>
      <c r="K29" s="58"/>
      <c r="L29" s="162"/>
      <c r="M29" s="58"/>
      <c r="N29" s="58"/>
      <c r="O29" s="227"/>
      <c r="P29" s="58"/>
      <c r="Q29" s="58"/>
      <c r="R29" s="58"/>
      <c r="S29" s="320"/>
      <c r="T29" s="316"/>
      <c r="U29" s="228"/>
      <c r="V29" s="228"/>
      <c r="W29" s="228"/>
    </row>
    <row r="30" spans="1:24" s="41" customFormat="1" ht="19.5" thickBot="1">
      <c r="A30" s="939" t="s">
        <v>5</v>
      </c>
      <c r="B30" s="940"/>
      <c r="C30" s="940"/>
      <c r="D30" s="940"/>
      <c r="E30" s="940"/>
      <c r="F30" s="940"/>
      <c r="G30" s="940"/>
      <c r="H30" s="940"/>
      <c r="I30" s="940"/>
      <c r="J30" s="940"/>
      <c r="K30" s="940"/>
      <c r="L30" s="940"/>
      <c r="M30" s="941"/>
      <c r="N30" s="226">
        <f>SUM(N11:N29)+N8</f>
        <v>559.5822</v>
      </c>
      <c r="O30" s="225">
        <f>SUM(O11:O29)+O8</f>
        <v>28.4</v>
      </c>
      <c r="P30" s="225">
        <f>SUM(P11:P29)</f>
        <v>15.408</v>
      </c>
      <c r="Q30" s="225">
        <f>SUM(Q11:Q29)+Q8</f>
        <v>109.64873073357069</v>
      </c>
      <c r="R30" s="225">
        <f>SUM(R11:R29)+R8</f>
        <v>462.92546926642933</v>
      </c>
      <c r="S30" s="323">
        <f>SUM(S11:S29)</f>
        <v>160</v>
      </c>
      <c r="T30" s="321"/>
      <c r="U30" s="322"/>
      <c r="V30" s="322"/>
      <c r="W30" s="322"/>
      <c r="X30" s="322"/>
    </row>
    <row r="31" spans="1:23" s="41" customFormat="1" ht="19.5" thickBot="1">
      <c r="A31" s="937" t="s">
        <v>96</v>
      </c>
      <c r="B31" s="938"/>
      <c r="C31" s="938"/>
      <c r="D31" s="938"/>
      <c r="E31" s="938"/>
      <c r="F31" s="938"/>
      <c r="G31" s="59" t="s">
        <v>28</v>
      </c>
      <c r="H31" s="968"/>
      <c r="I31" s="198"/>
      <c r="J31" s="199"/>
      <c r="K31" s="199"/>
      <c r="L31" s="199"/>
      <c r="M31" s="199"/>
      <c r="N31" s="199"/>
      <c r="O31" s="198"/>
      <c r="P31" s="199"/>
      <c r="Q31" s="199"/>
      <c r="R31" s="199"/>
      <c r="S31" s="199"/>
      <c r="T31" s="199"/>
      <c r="U31" s="199"/>
      <c r="V31" s="199"/>
      <c r="W31" s="200"/>
    </row>
    <row r="32" spans="1:23" ht="19.5" thickBot="1">
      <c r="A32" s="958" t="s">
        <v>97</v>
      </c>
      <c r="B32" s="959"/>
      <c r="C32" s="959"/>
      <c r="D32" s="959"/>
      <c r="E32" s="959"/>
      <c r="F32" s="44">
        <f>F8</f>
        <v>116</v>
      </c>
      <c r="G32" s="45" t="s">
        <v>45</v>
      </c>
      <c r="H32" s="969"/>
      <c r="I32" s="942" t="s">
        <v>312</v>
      </c>
      <c r="J32" s="943"/>
      <c r="K32" s="943"/>
      <c r="L32" s="944"/>
      <c r="M32" s="203"/>
      <c r="N32" s="964">
        <v>1.15</v>
      </c>
      <c r="O32" s="324"/>
      <c r="P32" s="201"/>
      <c r="Q32" s="201"/>
      <c r="R32" s="201"/>
      <c r="S32" s="201"/>
      <c r="T32" s="201"/>
      <c r="U32" s="201"/>
      <c r="V32" s="201"/>
      <c r="W32" s="202"/>
    </row>
    <row r="33" spans="1:23" ht="19.5" thickBot="1">
      <c r="A33" s="903" t="s">
        <v>98</v>
      </c>
      <c r="B33" s="904"/>
      <c r="C33" s="904"/>
      <c r="D33" s="904"/>
      <c r="E33" s="904"/>
      <c r="F33" s="46">
        <f>SUMIF($H$11:$H$29,0.4,$I$11:$I$29)</f>
        <v>359</v>
      </c>
      <c r="G33" s="47" t="s">
        <v>45</v>
      </c>
      <c r="H33" s="969"/>
      <c r="I33" s="945"/>
      <c r="J33" s="946"/>
      <c r="K33" s="946"/>
      <c r="L33" s="947"/>
      <c r="M33" s="203"/>
      <c r="N33" s="965"/>
      <c r="O33" s="951" t="s">
        <v>235</v>
      </c>
      <c r="P33" s="898"/>
      <c r="Q33" s="899"/>
      <c r="R33" s="197">
        <v>0.14</v>
      </c>
      <c r="S33" s="897" t="s">
        <v>236</v>
      </c>
      <c r="T33" s="898"/>
      <c r="U33" s="898"/>
      <c r="V33" s="899"/>
      <c r="W33" s="197">
        <f>N32+0.2</f>
        <v>1.3499999999999999</v>
      </c>
    </row>
    <row r="34" spans="1:23" ht="18.75">
      <c r="A34" s="903" t="s">
        <v>213</v>
      </c>
      <c r="B34" s="904"/>
      <c r="C34" s="904"/>
      <c r="D34" s="904"/>
      <c r="E34" s="904"/>
      <c r="F34" s="46">
        <f>SUMIF($H$11:$H$29,0.6,$I$11:$I$29)</f>
        <v>69</v>
      </c>
      <c r="G34" s="47" t="s">
        <v>45</v>
      </c>
      <c r="H34" s="969"/>
      <c r="I34" s="951" t="s">
        <v>254</v>
      </c>
      <c r="J34" s="898"/>
      <c r="K34" s="898"/>
      <c r="L34" s="898"/>
      <c r="M34" s="196"/>
      <c r="N34" s="197">
        <v>0</v>
      </c>
      <c r="O34" s="887" t="s">
        <v>235</v>
      </c>
      <c r="P34" s="888"/>
      <c r="Q34" s="889"/>
      <c r="R34" s="193">
        <v>0</v>
      </c>
      <c r="S34" s="887" t="s">
        <v>236</v>
      </c>
      <c r="T34" s="888"/>
      <c r="U34" s="888"/>
      <c r="V34" s="889"/>
      <c r="W34" s="197">
        <v>0</v>
      </c>
    </row>
    <row r="35" spans="1:23" ht="18.75">
      <c r="A35" s="903" t="s">
        <v>250</v>
      </c>
      <c r="B35" s="904"/>
      <c r="C35" s="904"/>
      <c r="D35" s="904"/>
      <c r="E35" s="904"/>
      <c r="F35" s="46">
        <f>SUMIF($H$11:$H$29,0.8,$I$11:$I$29)</f>
        <v>0</v>
      </c>
      <c r="G35" s="47" t="s">
        <v>45</v>
      </c>
      <c r="H35" s="969"/>
      <c r="I35" s="957" t="s">
        <v>255</v>
      </c>
      <c r="J35" s="888"/>
      <c r="K35" s="888"/>
      <c r="L35" s="888"/>
      <c r="M35" s="190"/>
      <c r="N35" s="193">
        <v>0</v>
      </c>
      <c r="O35" s="887" t="s">
        <v>235</v>
      </c>
      <c r="P35" s="888"/>
      <c r="Q35" s="889"/>
      <c r="R35" s="193">
        <v>0</v>
      </c>
      <c r="S35" s="887" t="s">
        <v>236</v>
      </c>
      <c r="T35" s="888"/>
      <c r="U35" s="888"/>
      <c r="V35" s="889"/>
      <c r="W35" s="197">
        <v>2.2</v>
      </c>
    </row>
    <row r="36" spans="1:25" ht="18.75">
      <c r="A36" s="903" t="s">
        <v>251</v>
      </c>
      <c r="B36" s="904"/>
      <c r="C36" s="904"/>
      <c r="D36" s="904"/>
      <c r="E36" s="904"/>
      <c r="F36" s="46">
        <f>SUMIF($H$11:$H$29,1,$I$11:$I$29)</f>
        <v>0</v>
      </c>
      <c r="G36" s="47" t="s">
        <v>45</v>
      </c>
      <c r="H36" s="969"/>
      <c r="I36" s="957" t="s">
        <v>256</v>
      </c>
      <c r="J36" s="888"/>
      <c r="K36" s="888"/>
      <c r="L36" s="888"/>
      <c r="M36" s="190"/>
      <c r="N36" s="193">
        <f>IF(F45=0,0,M36/(F45+F46))</f>
        <v>0</v>
      </c>
      <c r="O36" s="887" t="s">
        <v>235</v>
      </c>
      <c r="P36" s="888"/>
      <c r="Q36" s="889"/>
      <c r="R36" s="193">
        <f>IF(N36&lt;=1.5,0,N36-1.5)</f>
        <v>0</v>
      </c>
      <c r="S36" s="887" t="s">
        <v>236</v>
      </c>
      <c r="T36" s="888"/>
      <c r="U36" s="888"/>
      <c r="V36" s="889"/>
      <c r="W36" s="197">
        <f>N36</f>
        <v>0</v>
      </c>
      <c r="X36" s="145"/>
      <c r="Y36" s="159"/>
    </row>
    <row r="37" spans="1:25" ht="19.5" thickBot="1">
      <c r="A37" s="903" t="s">
        <v>252</v>
      </c>
      <c r="B37" s="904"/>
      <c r="C37" s="904"/>
      <c r="D37" s="904"/>
      <c r="E37" s="904"/>
      <c r="F37" s="46">
        <f>SUMIF($H$11:$H$29,1.2,$I$11:$I$29)</f>
        <v>0</v>
      </c>
      <c r="G37" s="47" t="s">
        <v>45</v>
      </c>
      <c r="H37" s="969"/>
      <c r="I37" s="963" t="s">
        <v>257</v>
      </c>
      <c r="J37" s="901"/>
      <c r="K37" s="901"/>
      <c r="L37" s="901"/>
      <c r="M37" s="191"/>
      <c r="N37" s="194">
        <f>IF(F47=0,0,M37/(F47+F48))</f>
        <v>0</v>
      </c>
      <c r="O37" s="900" t="s">
        <v>235</v>
      </c>
      <c r="P37" s="901"/>
      <c r="Q37" s="902"/>
      <c r="R37" s="194">
        <f>IF(N37&lt;=1.5,0,N37-1.5)</f>
        <v>0</v>
      </c>
      <c r="S37" s="900" t="s">
        <v>236</v>
      </c>
      <c r="T37" s="901"/>
      <c r="U37" s="901"/>
      <c r="V37" s="902"/>
      <c r="W37" s="197">
        <f>N37</f>
        <v>0</v>
      </c>
      <c r="X37" s="145"/>
      <c r="Y37" s="159"/>
    </row>
    <row r="38" spans="1:25" ht="19.5" thickBot="1">
      <c r="A38" s="952" t="s">
        <v>253</v>
      </c>
      <c r="B38" s="953"/>
      <c r="C38" s="953"/>
      <c r="D38" s="953"/>
      <c r="E38" s="953"/>
      <c r="F38" s="171">
        <f>SUMIF($H$11:$H$29,1.5,$I$11:$I$29)</f>
        <v>0</v>
      </c>
      <c r="G38" s="158" t="s">
        <v>45</v>
      </c>
      <c r="H38" s="969"/>
      <c r="I38" s="960"/>
      <c r="J38" s="961"/>
      <c r="K38" s="961"/>
      <c r="L38" s="961"/>
      <c r="M38" s="961"/>
      <c r="N38" s="961"/>
      <c r="O38" s="961"/>
      <c r="P38" s="961"/>
      <c r="Q38" s="961"/>
      <c r="R38" s="961"/>
      <c r="S38" s="961"/>
      <c r="T38" s="961"/>
      <c r="U38" s="961"/>
      <c r="V38" s="961"/>
      <c r="W38" s="962"/>
      <c r="X38" s="145"/>
      <c r="Y38" s="159"/>
    </row>
    <row r="39" spans="1:23" ht="18.75">
      <c r="A39" s="915" t="s">
        <v>306</v>
      </c>
      <c r="B39" s="916"/>
      <c r="C39" s="916"/>
      <c r="D39" s="916"/>
      <c r="E39" s="916"/>
      <c r="F39" s="195">
        <v>5</v>
      </c>
      <c r="G39" s="179" t="s">
        <v>4</v>
      </c>
      <c r="H39" s="969"/>
      <c r="I39" s="954" t="s">
        <v>308</v>
      </c>
      <c r="J39" s="955"/>
      <c r="K39" s="955"/>
      <c r="L39" s="955"/>
      <c r="M39" s="955"/>
      <c r="N39" s="296"/>
      <c r="O39" s="192" t="s">
        <v>4</v>
      </c>
      <c r="P39" s="948"/>
      <c r="Q39" s="915" t="s">
        <v>310</v>
      </c>
      <c r="R39" s="916"/>
      <c r="S39" s="916"/>
      <c r="T39" s="916"/>
      <c r="U39" s="916"/>
      <c r="V39" s="298"/>
      <c r="W39" s="179" t="s">
        <v>4</v>
      </c>
    </row>
    <row r="40" spans="1:23" ht="18.75">
      <c r="A40" s="913" t="s">
        <v>307</v>
      </c>
      <c r="B40" s="914"/>
      <c r="C40" s="914"/>
      <c r="D40" s="914"/>
      <c r="E40" s="914"/>
      <c r="F40" s="163">
        <v>7</v>
      </c>
      <c r="G40" s="180" t="s">
        <v>4</v>
      </c>
      <c r="H40" s="969"/>
      <c r="I40" s="956" t="s">
        <v>309</v>
      </c>
      <c r="J40" s="914"/>
      <c r="K40" s="914"/>
      <c r="L40" s="914"/>
      <c r="M40" s="914"/>
      <c r="N40" s="297"/>
      <c r="O40" s="180" t="s">
        <v>4</v>
      </c>
      <c r="P40" s="949"/>
      <c r="Q40" s="913" t="s">
        <v>311</v>
      </c>
      <c r="R40" s="914"/>
      <c r="S40" s="914"/>
      <c r="T40" s="914"/>
      <c r="U40" s="914"/>
      <c r="V40" s="297"/>
      <c r="W40" s="180" t="s">
        <v>4</v>
      </c>
    </row>
    <row r="41" spans="1:23" ht="18.75">
      <c r="A41" s="907" t="s">
        <v>242</v>
      </c>
      <c r="B41" s="908"/>
      <c r="C41" s="908"/>
      <c r="D41" s="908"/>
      <c r="E41" s="908"/>
      <c r="F41" s="165"/>
      <c r="G41" s="182" t="s">
        <v>4</v>
      </c>
      <c r="H41" s="969"/>
      <c r="I41" s="967" t="s">
        <v>288</v>
      </c>
      <c r="J41" s="908"/>
      <c r="K41" s="908"/>
      <c r="L41" s="908"/>
      <c r="M41" s="908"/>
      <c r="N41" s="165"/>
      <c r="O41" s="182" t="s">
        <v>4</v>
      </c>
      <c r="P41" s="949"/>
      <c r="Q41" s="907" t="s">
        <v>296</v>
      </c>
      <c r="R41" s="908"/>
      <c r="S41" s="908"/>
      <c r="T41" s="908"/>
      <c r="U41" s="908"/>
      <c r="V41" s="165"/>
      <c r="W41" s="182" t="s">
        <v>4</v>
      </c>
    </row>
    <row r="42" spans="1:23" ht="18.75">
      <c r="A42" s="907" t="s">
        <v>243</v>
      </c>
      <c r="B42" s="908"/>
      <c r="C42" s="908"/>
      <c r="D42" s="908"/>
      <c r="E42" s="908"/>
      <c r="F42" s="165"/>
      <c r="G42" s="182" t="s">
        <v>4</v>
      </c>
      <c r="H42" s="969"/>
      <c r="I42" s="967" t="s">
        <v>289</v>
      </c>
      <c r="J42" s="908"/>
      <c r="K42" s="908"/>
      <c r="L42" s="908"/>
      <c r="M42" s="908"/>
      <c r="N42" s="165"/>
      <c r="O42" s="182" t="s">
        <v>4</v>
      </c>
      <c r="P42" s="949"/>
      <c r="Q42" s="907" t="s">
        <v>297</v>
      </c>
      <c r="R42" s="908"/>
      <c r="S42" s="908"/>
      <c r="T42" s="908"/>
      <c r="U42" s="908"/>
      <c r="V42" s="165"/>
      <c r="W42" s="182" t="s">
        <v>4</v>
      </c>
    </row>
    <row r="43" spans="1:23" ht="18.75">
      <c r="A43" s="893" t="s">
        <v>244</v>
      </c>
      <c r="B43" s="894"/>
      <c r="C43" s="894"/>
      <c r="D43" s="894"/>
      <c r="E43" s="894"/>
      <c r="F43" s="166">
        <v>1</v>
      </c>
      <c r="G43" s="183" t="s">
        <v>4</v>
      </c>
      <c r="H43" s="969"/>
      <c r="I43" s="973" t="s">
        <v>290</v>
      </c>
      <c r="J43" s="894"/>
      <c r="K43" s="894"/>
      <c r="L43" s="894"/>
      <c r="M43" s="894"/>
      <c r="N43" s="166"/>
      <c r="O43" s="183" t="s">
        <v>4</v>
      </c>
      <c r="P43" s="949"/>
      <c r="Q43" s="893" t="s">
        <v>298</v>
      </c>
      <c r="R43" s="894"/>
      <c r="S43" s="894"/>
      <c r="T43" s="894"/>
      <c r="U43" s="894"/>
      <c r="V43" s="166"/>
      <c r="W43" s="183" t="s">
        <v>4</v>
      </c>
    </row>
    <row r="44" spans="1:23" ht="18.75">
      <c r="A44" s="893" t="s">
        <v>245</v>
      </c>
      <c r="B44" s="894"/>
      <c r="C44" s="894"/>
      <c r="D44" s="894"/>
      <c r="E44" s="894"/>
      <c r="F44" s="166"/>
      <c r="G44" s="183" t="s">
        <v>4</v>
      </c>
      <c r="H44" s="969"/>
      <c r="I44" s="973" t="s">
        <v>291</v>
      </c>
      <c r="J44" s="894"/>
      <c r="K44" s="894"/>
      <c r="L44" s="894"/>
      <c r="M44" s="894"/>
      <c r="N44" s="166"/>
      <c r="O44" s="183" t="s">
        <v>4</v>
      </c>
      <c r="P44" s="949"/>
      <c r="Q44" s="893" t="s">
        <v>299</v>
      </c>
      <c r="R44" s="894"/>
      <c r="S44" s="894"/>
      <c r="T44" s="894"/>
      <c r="U44" s="894"/>
      <c r="V44" s="166"/>
      <c r="W44" s="183" t="s">
        <v>4</v>
      </c>
    </row>
    <row r="45" spans="1:23" ht="18.75">
      <c r="A45" s="909" t="s">
        <v>246</v>
      </c>
      <c r="B45" s="910"/>
      <c r="C45" s="910"/>
      <c r="D45" s="910"/>
      <c r="E45" s="910"/>
      <c r="F45" s="167"/>
      <c r="G45" s="184" t="s">
        <v>4</v>
      </c>
      <c r="H45" s="969"/>
      <c r="I45" s="932" t="s">
        <v>292</v>
      </c>
      <c r="J45" s="910"/>
      <c r="K45" s="910"/>
      <c r="L45" s="910"/>
      <c r="M45" s="910"/>
      <c r="N45" s="167"/>
      <c r="O45" s="184" t="s">
        <v>4</v>
      </c>
      <c r="P45" s="949"/>
      <c r="Q45" s="909" t="s">
        <v>300</v>
      </c>
      <c r="R45" s="910"/>
      <c r="S45" s="910"/>
      <c r="T45" s="910"/>
      <c r="U45" s="910"/>
      <c r="V45" s="167"/>
      <c r="W45" s="184" t="s">
        <v>4</v>
      </c>
    </row>
    <row r="46" spans="1:23" ht="18.75">
      <c r="A46" s="909" t="s">
        <v>247</v>
      </c>
      <c r="B46" s="910"/>
      <c r="C46" s="910"/>
      <c r="D46" s="910"/>
      <c r="E46" s="910"/>
      <c r="F46" s="167"/>
      <c r="G46" s="184" t="s">
        <v>4</v>
      </c>
      <c r="H46" s="969"/>
      <c r="I46" s="932" t="s">
        <v>293</v>
      </c>
      <c r="J46" s="910"/>
      <c r="K46" s="910"/>
      <c r="L46" s="910"/>
      <c r="M46" s="910"/>
      <c r="N46" s="167"/>
      <c r="O46" s="184" t="s">
        <v>4</v>
      </c>
      <c r="P46" s="949"/>
      <c r="Q46" s="909" t="s">
        <v>301</v>
      </c>
      <c r="R46" s="910"/>
      <c r="S46" s="910"/>
      <c r="T46" s="910"/>
      <c r="U46" s="910"/>
      <c r="V46" s="167"/>
      <c r="W46" s="184" t="s">
        <v>4</v>
      </c>
    </row>
    <row r="47" spans="1:23" ht="18.75">
      <c r="A47" s="911" t="s">
        <v>248</v>
      </c>
      <c r="B47" s="912"/>
      <c r="C47" s="912"/>
      <c r="D47" s="912"/>
      <c r="E47" s="912"/>
      <c r="F47" s="168"/>
      <c r="G47" s="185" t="s">
        <v>4</v>
      </c>
      <c r="H47" s="969"/>
      <c r="I47" s="975" t="s">
        <v>294</v>
      </c>
      <c r="J47" s="912"/>
      <c r="K47" s="912"/>
      <c r="L47" s="912"/>
      <c r="M47" s="912"/>
      <c r="N47" s="168"/>
      <c r="O47" s="185" t="s">
        <v>4</v>
      </c>
      <c r="P47" s="949"/>
      <c r="Q47" s="911"/>
      <c r="R47" s="912"/>
      <c r="S47" s="912"/>
      <c r="T47" s="912"/>
      <c r="U47" s="912"/>
      <c r="V47" s="168"/>
      <c r="W47" s="185"/>
    </row>
    <row r="48" spans="1:23" ht="18.75">
      <c r="A48" s="911" t="s">
        <v>249</v>
      </c>
      <c r="B48" s="912"/>
      <c r="C48" s="912"/>
      <c r="D48" s="912"/>
      <c r="E48" s="912"/>
      <c r="F48" s="168"/>
      <c r="G48" s="185" t="s">
        <v>4</v>
      </c>
      <c r="H48" s="969"/>
      <c r="I48" s="975" t="s">
        <v>295</v>
      </c>
      <c r="J48" s="912"/>
      <c r="K48" s="912"/>
      <c r="L48" s="912"/>
      <c r="M48" s="912"/>
      <c r="N48" s="168"/>
      <c r="O48" s="185" t="s">
        <v>4</v>
      </c>
      <c r="P48" s="949"/>
      <c r="Q48" s="911"/>
      <c r="R48" s="912"/>
      <c r="S48" s="912"/>
      <c r="T48" s="912"/>
      <c r="U48" s="912"/>
      <c r="V48" s="168"/>
      <c r="W48" s="185"/>
    </row>
    <row r="49" spans="1:23" ht="18.75">
      <c r="A49" s="903" t="s">
        <v>99</v>
      </c>
      <c r="B49" s="904"/>
      <c r="C49" s="904"/>
      <c r="D49" s="904"/>
      <c r="E49" s="904"/>
      <c r="F49" s="131">
        <v>28</v>
      </c>
      <c r="G49" s="47" t="s">
        <v>4</v>
      </c>
      <c r="H49" s="969"/>
      <c r="I49" s="976" t="s">
        <v>259</v>
      </c>
      <c r="J49" s="904"/>
      <c r="K49" s="904"/>
      <c r="L49" s="904"/>
      <c r="M49" s="904"/>
      <c r="N49" s="131"/>
      <c r="O49" s="47" t="s">
        <v>4</v>
      </c>
      <c r="P49" s="949"/>
      <c r="Q49" s="903"/>
      <c r="R49" s="904"/>
      <c r="S49" s="904"/>
      <c r="T49" s="904"/>
      <c r="U49" s="904"/>
      <c r="V49" s="131"/>
      <c r="W49" s="47" t="s">
        <v>4</v>
      </c>
    </row>
    <row r="50" spans="1:23" ht="18.75">
      <c r="A50" s="913" t="s">
        <v>260</v>
      </c>
      <c r="B50" s="914"/>
      <c r="C50" s="914"/>
      <c r="D50" s="914"/>
      <c r="E50" s="914"/>
      <c r="F50" s="163"/>
      <c r="G50" s="180" t="s">
        <v>4</v>
      </c>
      <c r="H50" s="969"/>
      <c r="I50" s="956" t="s">
        <v>261</v>
      </c>
      <c r="J50" s="914"/>
      <c r="K50" s="914"/>
      <c r="L50" s="914"/>
      <c r="M50" s="914"/>
      <c r="N50" s="163"/>
      <c r="O50" s="180" t="s">
        <v>4</v>
      </c>
      <c r="P50" s="949"/>
      <c r="Q50" s="913" t="s">
        <v>391</v>
      </c>
      <c r="R50" s="914"/>
      <c r="S50" s="914"/>
      <c r="T50" s="914"/>
      <c r="U50" s="914"/>
      <c r="V50" s="163"/>
      <c r="W50" s="180" t="s">
        <v>4</v>
      </c>
    </row>
    <row r="51" spans="1:23" ht="18.75">
      <c r="A51" s="905" t="s">
        <v>262</v>
      </c>
      <c r="B51" s="906"/>
      <c r="C51" s="906"/>
      <c r="D51" s="906"/>
      <c r="E51" s="906"/>
      <c r="F51" s="164">
        <v>1</v>
      </c>
      <c r="G51" s="181" t="s">
        <v>4</v>
      </c>
      <c r="H51" s="969"/>
      <c r="I51" s="966" t="s">
        <v>263</v>
      </c>
      <c r="J51" s="906"/>
      <c r="K51" s="906"/>
      <c r="L51" s="906"/>
      <c r="M51" s="906"/>
      <c r="N51" s="164"/>
      <c r="O51" s="181" t="s">
        <v>4</v>
      </c>
      <c r="P51" s="949"/>
      <c r="Q51" s="905" t="s">
        <v>302</v>
      </c>
      <c r="R51" s="906"/>
      <c r="S51" s="906"/>
      <c r="T51" s="906"/>
      <c r="U51" s="906"/>
      <c r="V51" s="164"/>
      <c r="W51" s="181" t="s">
        <v>4</v>
      </c>
    </row>
    <row r="52" spans="1:23" ht="18.75">
      <c r="A52" s="907" t="s">
        <v>264</v>
      </c>
      <c r="B52" s="908"/>
      <c r="C52" s="908"/>
      <c r="D52" s="908"/>
      <c r="E52" s="908"/>
      <c r="F52" s="165"/>
      <c r="G52" s="182" t="s">
        <v>4</v>
      </c>
      <c r="H52" s="969"/>
      <c r="I52" s="967" t="s">
        <v>265</v>
      </c>
      <c r="J52" s="908"/>
      <c r="K52" s="908"/>
      <c r="L52" s="908"/>
      <c r="M52" s="908"/>
      <c r="N52" s="165"/>
      <c r="O52" s="182" t="s">
        <v>4</v>
      </c>
      <c r="P52" s="949"/>
      <c r="Q52" s="907" t="s">
        <v>303</v>
      </c>
      <c r="R52" s="908"/>
      <c r="S52" s="908"/>
      <c r="T52" s="908"/>
      <c r="U52" s="908"/>
      <c r="V52" s="165"/>
      <c r="W52" s="182" t="s">
        <v>4</v>
      </c>
    </row>
    <row r="53" spans="1:23" ht="18.75">
      <c r="A53" s="893" t="s">
        <v>266</v>
      </c>
      <c r="B53" s="894"/>
      <c r="C53" s="894"/>
      <c r="D53" s="894"/>
      <c r="E53" s="894"/>
      <c r="F53" s="166"/>
      <c r="G53" s="183" t="s">
        <v>4</v>
      </c>
      <c r="H53" s="969"/>
      <c r="I53" s="973" t="s">
        <v>267</v>
      </c>
      <c r="J53" s="894"/>
      <c r="K53" s="894"/>
      <c r="L53" s="894"/>
      <c r="M53" s="894"/>
      <c r="N53" s="166"/>
      <c r="O53" s="183" t="s">
        <v>4</v>
      </c>
      <c r="P53" s="949"/>
      <c r="Q53" s="893" t="s">
        <v>304</v>
      </c>
      <c r="R53" s="894"/>
      <c r="S53" s="894"/>
      <c r="T53" s="894"/>
      <c r="U53" s="894"/>
      <c r="V53" s="166"/>
      <c r="W53" s="183" t="s">
        <v>4</v>
      </c>
    </row>
    <row r="54" spans="1:23" ht="19.5" thickBot="1">
      <c r="A54" s="971" t="s">
        <v>268</v>
      </c>
      <c r="B54" s="972"/>
      <c r="C54" s="972"/>
      <c r="D54" s="972"/>
      <c r="E54" s="972"/>
      <c r="F54" s="187"/>
      <c r="G54" s="188" t="s">
        <v>4</v>
      </c>
      <c r="H54" s="970"/>
      <c r="I54" s="974" t="s">
        <v>269</v>
      </c>
      <c r="J54" s="896"/>
      <c r="K54" s="896"/>
      <c r="L54" s="896"/>
      <c r="M54" s="896"/>
      <c r="N54" s="172"/>
      <c r="O54" s="186" t="s">
        <v>4</v>
      </c>
      <c r="P54" s="950"/>
      <c r="Q54" s="895" t="s">
        <v>305</v>
      </c>
      <c r="R54" s="896"/>
      <c r="S54" s="896"/>
      <c r="T54" s="896"/>
      <c r="U54" s="896"/>
      <c r="V54" s="172"/>
      <c r="W54" s="186" t="s">
        <v>4</v>
      </c>
    </row>
    <row r="55" spans="1:19" ht="15.75" thickBot="1">
      <c r="A55" s="890" t="s">
        <v>157</v>
      </c>
      <c r="B55" s="891"/>
      <c r="C55" s="891"/>
      <c r="D55" s="891"/>
      <c r="E55" s="891"/>
      <c r="F55" s="891"/>
      <c r="G55" s="891"/>
      <c r="H55" s="891"/>
      <c r="I55" s="891"/>
      <c r="J55" s="892"/>
      <c r="S55" s="144"/>
    </row>
    <row r="57" spans="1:18" ht="1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R57" s="144"/>
    </row>
    <row r="58" spans="1:10" ht="15">
      <c r="A58" s="160"/>
      <c r="B58" s="933"/>
      <c r="C58" s="933"/>
      <c r="D58" s="933"/>
      <c r="E58" s="933"/>
      <c r="F58" s="933"/>
      <c r="G58" s="933"/>
      <c r="H58" s="933"/>
      <c r="I58" s="933"/>
      <c r="J58" s="933"/>
    </row>
    <row r="59" spans="1:10" ht="15">
      <c r="A59" s="160"/>
      <c r="B59" s="160"/>
      <c r="C59" s="160"/>
      <c r="D59" s="160"/>
      <c r="E59" s="160"/>
      <c r="F59" s="160"/>
      <c r="G59" s="160"/>
      <c r="H59" s="160"/>
      <c r="I59" s="160"/>
      <c r="J59" s="160"/>
    </row>
    <row r="60" spans="1:10" ht="15">
      <c r="A60" s="160"/>
      <c r="B60" s="160"/>
      <c r="C60" s="160"/>
      <c r="D60" s="160"/>
      <c r="E60" s="160"/>
      <c r="F60" s="160"/>
      <c r="G60" s="160"/>
      <c r="H60" s="160"/>
      <c r="I60" s="160"/>
      <c r="J60" s="160"/>
    </row>
    <row r="82" spans="14:22" ht="18.75">
      <c r="N82" s="42"/>
      <c r="O82" s="42"/>
      <c r="P82" s="42"/>
      <c r="Q82" s="42"/>
      <c r="R82" s="42"/>
      <c r="S82" s="42"/>
      <c r="T82" s="43"/>
      <c r="U82" s="43"/>
      <c r="V82" s="43"/>
    </row>
  </sheetData>
  <sheetProtection/>
  <mergeCells count="89">
    <mergeCell ref="I53:M53"/>
    <mergeCell ref="A46:E46"/>
    <mergeCell ref="I54:M54"/>
    <mergeCell ref="I41:M41"/>
    <mergeCell ref="I42:M42"/>
    <mergeCell ref="I47:M47"/>
    <mergeCell ref="I48:M48"/>
    <mergeCell ref="I49:M49"/>
    <mergeCell ref="I50:M50"/>
    <mergeCell ref="I43:M43"/>
    <mergeCell ref="I44:M44"/>
    <mergeCell ref="A40:E40"/>
    <mergeCell ref="A53:E53"/>
    <mergeCell ref="A50:E50"/>
    <mergeCell ref="A41:E41"/>
    <mergeCell ref="A48:E48"/>
    <mergeCell ref="A47:E47"/>
    <mergeCell ref="A43:E43"/>
    <mergeCell ref="A42:E42"/>
    <mergeCell ref="A44:E44"/>
    <mergeCell ref="A45:E45"/>
    <mergeCell ref="O36:Q36"/>
    <mergeCell ref="O37:Q37"/>
    <mergeCell ref="A51:E51"/>
    <mergeCell ref="I51:M51"/>
    <mergeCell ref="A52:E52"/>
    <mergeCell ref="I52:M52"/>
    <mergeCell ref="H31:H54"/>
    <mergeCell ref="A54:E54"/>
    <mergeCell ref="A49:E49"/>
    <mergeCell ref="I39:M39"/>
    <mergeCell ref="I40:M40"/>
    <mergeCell ref="I35:L35"/>
    <mergeCell ref="A32:E32"/>
    <mergeCell ref="A33:E33"/>
    <mergeCell ref="I38:W38"/>
    <mergeCell ref="O34:Q34"/>
    <mergeCell ref="I36:L36"/>
    <mergeCell ref="I37:L37"/>
    <mergeCell ref="N32:N33"/>
    <mergeCell ref="I32:L33"/>
    <mergeCell ref="P39:P54"/>
    <mergeCell ref="O33:Q33"/>
    <mergeCell ref="A35:E35"/>
    <mergeCell ref="A36:E36"/>
    <mergeCell ref="A37:E37"/>
    <mergeCell ref="Q41:U41"/>
    <mergeCell ref="Q42:U42"/>
    <mergeCell ref="A38:E38"/>
    <mergeCell ref="I34:L34"/>
    <mergeCell ref="I46:M46"/>
    <mergeCell ref="I45:M45"/>
    <mergeCell ref="B58:J58"/>
    <mergeCell ref="A6:R6"/>
    <mergeCell ref="A10:B10"/>
    <mergeCell ref="A31:F31"/>
    <mergeCell ref="A30:M30"/>
    <mergeCell ref="A9:R9"/>
    <mergeCell ref="A34:E34"/>
    <mergeCell ref="A39:E39"/>
    <mergeCell ref="Q39:U39"/>
    <mergeCell ref="Q40:U40"/>
    <mergeCell ref="A1:R1"/>
    <mergeCell ref="A2:R2"/>
    <mergeCell ref="M3:N3"/>
    <mergeCell ref="A5:R5"/>
    <mergeCell ref="D3:L3"/>
    <mergeCell ref="P3:R3"/>
    <mergeCell ref="D4:L4"/>
    <mergeCell ref="M4:R4"/>
    <mergeCell ref="Q43:U43"/>
    <mergeCell ref="Q51:U51"/>
    <mergeCell ref="Q52:U52"/>
    <mergeCell ref="Q45:U45"/>
    <mergeCell ref="Q46:U46"/>
    <mergeCell ref="Q47:U47"/>
    <mergeCell ref="Q48:U48"/>
    <mergeCell ref="Q44:U44"/>
    <mergeCell ref="Q50:U50"/>
    <mergeCell ref="O35:Q35"/>
    <mergeCell ref="A55:J55"/>
    <mergeCell ref="Q53:U53"/>
    <mergeCell ref="Q54:U54"/>
    <mergeCell ref="S33:V33"/>
    <mergeCell ref="S34:V34"/>
    <mergeCell ref="S35:V35"/>
    <mergeCell ref="S36:V36"/>
    <mergeCell ref="S37:V37"/>
    <mergeCell ref="Q49:U49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13">
      <selection activeCell="J18" sqref="J18"/>
    </sheetView>
  </sheetViews>
  <sheetFormatPr defaultColWidth="9.140625" defaultRowHeight="12.75"/>
  <cols>
    <col min="1" max="1" width="18.140625" style="0" bestFit="1" customWidth="1"/>
    <col min="2" max="2" width="100.7109375" style="0" customWidth="1"/>
    <col min="3" max="3" width="7.28125" style="0" customWidth="1"/>
    <col min="4" max="4" width="12.8515625" style="0" customWidth="1"/>
    <col min="5" max="5" width="11.57421875" style="0" bestFit="1" customWidth="1"/>
    <col min="6" max="6" width="32.421875" style="0" customWidth="1"/>
    <col min="7" max="8" width="10.421875" style="0" bestFit="1" customWidth="1"/>
    <col min="9" max="9" width="10.57421875" style="0" customWidth="1"/>
    <col min="10" max="10" width="11.7109375" style="0" bestFit="1" customWidth="1"/>
    <col min="11" max="11" width="9.8515625" style="7" bestFit="1" customWidth="1"/>
    <col min="12" max="12" width="13.00390625" style="1" bestFit="1" customWidth="1"/>
    <col min="13" max="13" width="5.7109375" style="6" bestFit="1" customWidth="1"/>
    <col min="14" max="14" width="17.57421875" style="6" bestFit="1" customWidth="1"/>
    <col min="15" max="15" width="11.00390625" style="1" bestFit="1" customWidth="1"/>
  </cols>
  <sheetData>
    <row r="1" spans="1:15" s="236" customFormat="1" ht="18">
      <c r="A1" s="1009" t="s">
        <v>57</v>
      </c>
      <c r="B1" s="1009"/>
      <c r="C1" s="1009"/>
      <c r="D1" s="1009"/>
      <c r="E1" s="1009"/>
      <c r="F1" s="1009"/>
      <c r="G1" s="235"/>
      <c r="H1" s="235"/>
      <c r="K1" s="237"/>
      <c r="L1" s="238"/>
      <c r="M1" s="239"/>
      <c r="N1" s="239"/>
      <c r="O1" s="238"/>
    </row>
    <row r="2" spans="1:15" s="236" customFormat="1" ht="26.25" thickBot="1">
      <c r="A2" s="1017" t="str">
        <f>'dados de entrada'!B15</f>
        <v>PREFEITURA MUNICIPAL DE BOMBINHAS</v>
      </c>
      <c r="B2" s="1017"/>
      <c r="C2" s="1017"/>
      <c r="D2" s="1017"/>
      <c r="E2" s="1017"/>
      <c r="F2" s="1017"/>
      <c r="G2" s="240"/>
      <c r="H2" s="240"/>
      <c r="K2" s="237"/>
      <c r="L2" s="238"/>
      <c r="M2" s="239"/>
      <c r="N2" s="239"/>
      <c r="O2" s="238"/>
    </row>
    <row r="3" spans="1:15" s="236" customFormat="1" ht="12.75">
      <c r="A3" s="999" t="s">
        <v>13</v>
      </c>
      <c r="B3" s="1000"/>
      <c r="C3" s="1000"/>
      <c r="D3" s="1000"/>
      <c r="E3" s="1000"/>
      <c r="F3" s="241" t="s">
        <v>107</v>
      </c>
      <c r="G3" s="242"/>
      <c r="H3" s="242"/>
      <c r="K3" s="237"/>
      <c r="L3" s="238"/>
      <c r="M3" s="239"/>
      <c r="N3" s="239"/>
      <c r="O3" s="238"/>
    </row>
    <row r="4" spans="1:15" s="236" customFormat="1" ht="18.75" thickBot="1">
      <c r="A4" s="1010" t="str">
        <f>'dados de entrada'!B8</f>
        <v>PAVIMENTAÇÃO COM LAJOTAS SEXTAVADAS E DRENAGEM PLUVIAL </v>
      </c>
      <c r="B4" s="1011"/>
      <c r="C4" s="1012"/>
      <c r="D4" s="1012"/>
      <c r="E4" s="1012"/>
      <c r="F4" s="243">
        <f>'dados de entrada'!B3</f>
        <v>41730</v>
      </c>
      <c r="G4" s="244"/>
      <c r="H4" s="244"/>
      <c r="I4" s="230"/>
      <c r="J4" s="230"/>
      <c r="K4" s="245"/>
      <c r="L4" s="246"/>
      <c r="M4" s="247"/>
      <c r="N4" s="247"/>
      <c r="O4" s="246"/>
    </row>
    <row r="5" spans="1:15" s="236" customFormat="1" ht="12.75">
      <c r="A5" s="999" t="s">
        <v>194</v>
      </c>
      <c r="B5" s="1000"/>
      <c r="C5" s="999" t="s">
        <v>15</v>
      </c>
      <c r="D5" s="1000"/>
      <c r="E5" s="1000"/>
      <c r="F5" s="1018"/>
      <c r="G5" s="242"/>
      <c r="H5" s="242"/>
      <c r="I5" s="230"/>
      <c r="J5" s="230"/>
      <c r="K5" s="245"/>
      <c r="L5" s="246"/>
      <c r="M5" s="247"/>
      <c r="N5" s="247"/>
      <c r="O5" s="246"/>
    </row>
    <row r="6" spans="1:15" s="236" customFormat="1" ht="18">
      <c r="A6" s="1010" t="str">
        <f>'dados de entrada'!C19</f>
        <v>RUA MERGULHÃO CAÇADOR - BAIRRO BOMBAS</v>
      </c>
      <c r="B6" s="1011"/>
      <c r="C6" s="1019" t="s">
        <v>195</v>
      </c>
      <c r="D6" s="1020"/>
      <c r="E6" s="1020"/>
      <c r="F6" s="1021"/>
      <c r="G6" s="248"/>
      <c r="H6" s="248"/>
      <c r="I6" s="230"/>
      <c r="J6" s="230"/>
      <c r="K6" s="245"/>
      <c r="L6" s="246"/>
      <c r="M6" s="247"/>
      <c r="N6" s="247"/>
      <c r="O6" s="246"/>
    </row>
    <row r="7" spans="1:15" s="236" customFormat="1" ht="15.75" thickBot="1">
      <c r="A7" s="997"/>
      <c r="B7" s="998"/>
      <c r="C7" s="1001" t="s">
        <v>399</v>
      </c>
      <c r="D7" s="1002"/>
      <c r="E7" s="1002"/>
      <c r="F7" s="294">
        <f>'dados de entrada'!B10</f>
        <v>0.2373</v>
      </c>
      <c r="G7" s="249"/>
      <c r="H7" s="249"/>
      <c r="I7" s="230"/>
      <c r="J7" s="230"/>
      <c r="K7" s="245"/>
      <c r="L7" s="246"/>
      <c r="M7" s="247"/>
      <c r="N7" s="247"/>
      <c r="O7" s="246"/>
    </row>
    <row r="8" spans="1:15" s="236" customFormat="1" ht="21" thickBot="1">
      <c r="A8" s="760">
        <f>'dados de entrada'!B3</f>
        <v>41730</v>
      </c>
      <c r="B8" s="250" t="s">
        <v>397</v>
      </c>
      <c r="C8" s="1026" t="s">
        <v>398</v>
      </c>
      <c r="D8" s="1026"/>
      <c r="E8" s="1026"/>
      <c r="F8" s="1026"/>
      <c r="G8" s="251"/>
      <c r="H8" s="251"/>
      <c r="I8" s="230"/>
      <c r="J8" s="230"/>
      <c r="K8" s="245"/>
      <c r="L8" s="246"/>
      <c r="M8" s="247"/>
      <c r="N8" s="247"/>
      <c r="O8" s="246"/>
    </row>
    <row r="9" spans="1:15" s="252" customFormat="1" ht="18.75" thickBot="1">
      <c r="A9" s="310" t="s">
        <v>0</v>
      </c>
      <c r="B9" s="310" t="s">
        <v>1</v>
      </c>
      <c r="C9" s="312" t="s">
        <v>2</v>
      </c>
      <c r="D9" s="311" t="s">
        <v>10</v>
      </c>
      <c r="E9" s="1027" t="s">
        <v>44</v>
      </c>
      <c r="F9" s="1028"/>
      <c r="H9" s="253"/>
      <c r="I9" s="254"/>
      <c r="J9" s="253"/>
      <c r="K9" s="255"/>
      <c r="L9" s="255"/>
      <c r="M9" s="255"/>
      <c r="N9" s="255"/>
      <c r="O9" s="255"/>
    </row>
    <row r="10" spans="1:15" s="252" customFormat="1" ht="18">
      <c r="A10" s="350" t="s">
        <v>17</v>
      </c>
      <c r="B10" s="351" t="s">
        <v>46</v>
      </c>
      <c r="C10" s="352"/>
      <c r="D10" s="256"/>
      <c r="E10" s="1024"/>
      <c r="F10" s="1025"/>
      <c r="H10" s="253"/>
      <c r="I10" s="254"/>
      <c r="J10" s="253"/>
      <c r="K10" s="257"/>
      <c r="L10" s="257"/>
      <c r="M10" s="257"/>
      <c r="N10" s="257"/>
      <c r="O10" s="257"/>
    </row>
    <row r="11" spans="1:15" s="252" customFormat="1" ht="18">
      <c r="A11" s="261" t="s">
        <v>8</v>
      </c>
      <c r="B11" s="341" t="s">
        <v>212</v>
      </c>
      <c r="C11" s="413" t="s">
        <v>3</v>
      </c>
      <c r="D11" s="262">
        <v>3</v>
      </c>
      <c r="E11" s="986" t="s">
        <v>189</v>
      </c>
      <c r="F11" s="987"/>
      <c r="H11" s="253"/>
      <c r="I11" s="254"/>
      <c r="J11" s="253"/>
      <c r="K11" s="257"/>
      <c r="L11" s="257"/>
      <c r="M11" s="257"/>
      <c r="N11" s="257"/>
      <c r="O11" s="257"/>
    </row>
    <row r="12" spans="1:15" s="252" customFormat="1" ht="18.75" thickBot="1">
      <c r="A12" s="258"/>
      <c r="B12" s="349"/>
      <c r="C12" s="414"/>
      <c r="D12" s="259"/>
      <c r="E12" s="1005"/>
      <c r="F12" s="1006"/>
      <c r="H12" s="253"/>
      <c r="I12" s="254"/>
      <c r="J12" s="253"/>
      <c r="K12" s="257"/>
      <c r="L12" s="257"/>
      <c r="M12" s="257"/>
      <c r="N12" s="257"/>
      <c r="O12" s="257"/>
    </row>
    <row r="13" spans="1:15" s="252" customFormat="1" ht="18">
      <c r="A13" s="410" t="s">
        <v>160</v>
      </c>
      <c r="B13" s="411" t="s">
        <v>424</v>
      </c>
      <c r="C13" s="412"/>
      <c r="D13" s="526"/>
      <c r="E13" s="1013"/>
      <c r="F13" s="1014"/>
      <c r="H13" s="253"/>
      <c r="I13" s="254"/>
      <c r="J13" s="253"/>
      <c r="K13" s="257"/>
      <c r="L13" s="257"/>
      <c r="M13" s="257"/>
      <c r="N13" s="257"/>
      <c r="O13" s="257"/>
    </row>
    <row r="14" spans="1:15" s="252" customFormat="1" ht="18">
      <c r="A14" s="261" t="s">
        <v>47</v>
      </c>
      <c r="B14" s="341" t="s">
        <v>475</v>
      </c>
      <c r="C14" s="413" t="s">
        <v>9</v>
      </c>
      <c r="D14" s="262">
        <f>ROUND(Escavação!N30+Escavação!O30,1)</f>
        <v>588</v>
      </c>
      <c r="E14" s="986" t="s">
        <v>56</v>
      </c>
      <c r="F14" s="987"/>
      <c r="H14" s="253"/>
      <c r="I14" s="254"/>
      <c r="J14" s="253"/>
      <c r="K14" s="257"/>
      <c r="L14" s="257"/>
      <c r="M14" s="257"/>
      <c r="N14" s="257"/>
      <c r="O14" s="257"/>
    </row>
    <row r="15" spans="1:15" s="252" customFormat="1" ht="18">
      <c r="A15" s="261" t="s">
        <v>48</v>
      </c>
      <c r="B15" s="341" t="s">
        <v>406</v>
      </c>
      <c r="C15" s="413" t="s">
        <v>3</v>
      </c>
      <c r="D15" s="262">
        <f>ROUND(Escavação!S30,1)</f>
        <v>160</v>
      </c>
      <c r="E15" s="986" t="s">
        <v>56</v>
      </c>
      <c r="F15" s="987"/>
      <c r="H15" s="253"/>
      <c r="I15" s="254"/>
      <c r="J15" s="253"/>
      <c r="K15" s="257"/>
      <c r="L15" s="257"/>
      <c r="M15" s="257"/>
      <c r="N15" s="257"/>
      <c r="O15" s="257"/>
    </row>
    <row r="16" spans="1:15" s="252" customFormat="1" ht="18">
      <c r="A16" s="261" t="s">
        <v>49</v>
      </c>
      <c r="B16" s="341" t="s">
        <v>591</v>
      </c>
      <c r="C16" s="413" t="s">
        <v>9</v>
      </c>
      <c r="D16" s="262">
        <f>Escavação!P30</f>
        <v>15.408</v>
      </c>
      <c r="E16" s="986" t="s">
        <v>56</v>
      </c>
      <c r="F16" s="987"/>
      <c r="H16" s="253"/>
      <c r="I16" s="254"/>
      <c r="J16" s="253"/>
      <c r="K16" s="257"/>
      <c r="L16" s="257"/>
      <c r="M16" s="257"/>
      <c r="N16" s="257"/>
      <c r="O16" s="257"/>
    </row>
    <row r="17" spans="1:15" s="252" customFormat="1" ht="18">
      <c r="A17" s="261" t="s">
        <v>50</v>
      </c>
      <c r="B17" s="341" t="s">
        <v>505</v>
      </c>
      <c r="C17" s="585" t="s">
        <v>45</v>
      </c>
      <c r="D17" s="262">
        <f>Escavação!F32</f>
        <v>116</v>
      </c>
      <c r="E17" s="986" t="s">
        <v>405</v>
      </c>
      <c r="F17" s="987"/>
      <c r="H17" s="253"/>
      <c r="I17" s="254"/>
      <c r="J17" s="253"/>
      <c r="K17" s="257"/>
      <c r="L17" s="257"/>
      <c r="M17" s="257"/>
      <c r="N17" s="257"/>
      <c r="O17" s="257"/>
    </row>
    <row r="18" spans="1:15" s="252" customFormat="1" ht="18">
      <c r="A18" s="261" t="s">
        <v>147</v>
      </c>
      <c r="B18" s="341" t="s">
        <v>506</v>
      </c>
      <c r="C18" s="585" t="s">
        <v>45</v>
      </c>
      <c r="D18" s="262">
        <f>Escavação!F32</f>
        <v>116</v>
      </c>
      <c r="E18" s="986" t="s">
        <v>405</v>
      </c>
      <c r="F18" s="987"/>
      <c r="H18" s="253"/>
      <c r="I18" s="254"/>
      <c r="J18" s="253"/>
      <c r="K18" s="257"/>
      <c r="L18" s="257"/>
      <c r="M18" s="257"/>
      <c r="N18" s="257"/>
      <c r="O18" s="257"/>
    </row>
    <row r="19" spans="1:15" s="252" customFormat="1" ht="18">
      <c r="A19" s="261" t="s">
        <v>192</v>
      </c>
      <c r="B19" s="341" t="s">
        <v>507</v>
      </c>
      <c r="C19" s="585" t="s">
        <v>45</v>
      </c>
      <c r="D19" s="262">
        <f>Escavação!F33</f>
        <v>359</v>
      </c>
      <c r="E19" s="986" t="s">
        <v>405</v>
      </c>
      <c r="F19" s="987"/>
      <c r="G19" s="263"/>
      <c r="H19" s="253"/>
      <c r="I19" s="254"/>
      <c r="J19" s="253"/>
      <c r="K19" s="257"/>
      <c r="L19" s="257"/>
      <c r="M19" s="257"/>
      <c r="N19" s="257"/>
      <c r="O19" s="257"/>
    </row>
    <row r="20" spans="1:15" s="252" customFormat="1" ht="18">
      <c r="A20" s="261" t="s">
        <v>193</v>
      </c>
      <c r="B20" s="341" t="s">
        <v>508</v>
      </c>
      <c r="C20" s="585" t="s">
        <v>45</v>
      </c>
      <c r="D20" s="262">
        <f>Escavação!F33</f>
        <v>359</v>
      </c>
      <c r="E20" s="986" t="s">
        <v>405</v>
      </c>
      <c r="F20" s="987"/>
      <c r="G20" s="263"/>
      <c r="H20" s="253"/>
      <c r="I20" s="254"/>
      <c r="J20" s="253"/>
      <c r="K20" s="257"/>
      <c r="L20" s="257"/>
      <c r="M20" s="257"/>
      <c r="N20" s="257"/>
      <c r="O20" s="257"/>
    </row>
    <row r="21" spans="1:15" s="252" customFormat="1" ht="18">
      <c r="A21" s="261" t="s">
        <v>400</v>
      </c>
      <c r="B21" s="341" t="s">
        <v>509</v>
      </c>
      <c r="C21" s="585" t="s">
        <v>45</v>
      </c>
      <c r="D21" s="262">
        <f>Escavação!F34</f>
        <v>69</v>
      </c>
      <c r="E21" s="986" t="s">
        <v>405</v>
      </c>
      <c r="F21" s="987"/>
      <c r="G21" s="263"/>
      <c r="I21" s="264"/>
      <c r="K21" s="257"/>
      <c r="L21" s="257"/>
      <c r="M21" s="257"/>
      <c r="N21" s="257"/>
      <c r="O21" s="257"/>
    </row>
    <row r="22" spans="1:15" s="252" customFormat="1" ht="18">
      <c r="A22" s="261" t="s">
        <v>403</v>
      </c>
      <c r="B22" s="341" t="s">
        <v>510</v>
      </c>
      <c r="C22" s="585" t="s">
        <v>45</v>
      </c>
      <c r="D22" s="262">
        <f>Escavação!F34</f>
        <v>69</v>
      </c>
      <c r="E22" s="986" t="s">
        <v>405</v>
      </c>
      <c r="F22" s="987"/>
      <c r="G22" s="263"/>
      <c r="I22" s="264"/>
      <c r="K22" s="257"/>
      <c r="L22" s="257"/>
      <c r="M22" s="257"/>
      <c r="N22" s="257"/>
      <c r="O22" s="257"/>
    </row>
    <row r="23" spans="1:15" s="252" customFormat="1" ht="18">
      <c r="A23" s="983" t="s">
        <v>404</v>
      </c>
      <c r="B23" s="980" t="s">
        <v>486</v>
      </c>
      <c r="C23" s="977" t="s">
        <v>3</v>
      </c>
      <c r="D23" s="977">
        <f>ROUND((F23+F24+F25),0)</f>
        <v>317</v>
      </c>
      <c r="E23" s="500" t="s">
        <v>487</v>
      </c>
      <c r="F23" s="501">
        <f>(((2*PI()*0.19)+0.3)*D17)*0.3</f>
        <v>51.98442125107142</v>
      </c>
      <c r="G23" s="263"/>
      <c r="I23" s="264"/>
      <c r="K23" s="257"/>
      <c r="L23" s="257"/>
      <c r="M23" s="257"/>
      <c r="N23" s="257"/>
      <c r="O23" s="257"/>
    </row>
    <row r="24" spans="1:15" s="252" customFormat="1" ht="18">
      <c r="A24" s="984"/>
      <c r="B24" s="981"/>
      <c r="C24" s="978"/>
      <c r="D24" s="978"/>
      <c r="E24" s="500" t="s">
        <v>488</v>
      </c>
      <c r="F24" s="501">
        <f>(((2*PI()*0.26)+0.3)*D19)*0.3</f>
        <v>208.25175497164278</v>
      </c>
      <c r="G24" s="263"/>
      <c r="I24" s="264"/>
      <c r="K24" s="257"/>
      <c r="L24" s="257"/>
      <c r="M24" s="257"/>
      <c r="N24" s="257"/>
      <c r="O24" s="257"/>
    </row>
    <row r="25" spans="1:15" s="252" customFormat="1" ht="18">
      <c r="A25" s="985"/>
      <c r="B25" s="982"/>
      <c r="C25" s="979"/>
      <c r="D25" s="979"/>
      <c r="E25" s="500" t="s">
        <v>489</v>
      </c>
      <c r="F25" s="501">
        <f>(((2*PI()*0.39)+0.3)*D21)*0.3</f>
        <v>56.93415498486079</v>
      </c>
      <c r="G25" s="263"/>
      <c r="I25" s="264"/>
      <c r="K25" s="257"/>
      <c r="L25" s="257"/>
      <c r="M25" s="257"/>
      <c r="N25" s="257"/>
      <c r="O25" s="257"/>
    </row>
    <row r="26" spans="1:15" s="252" customFormat="1" ht="18">
      <c r="A26" s="261" t="s">
        <v>407</v>
      </c>
      <c r="B26" s="341" t="s">
        <v>216</v>
      </c>
      <c r="C26" s="413" t="s">
        <v>9</v>
      </c>
      <c r="D26" s="262">
        <f>ROUND(Escavação!R30,0)</f>
        <v>463</v>
      </c>
      <c r="E26" s="986" t="s">
        <v>56</v>
      </c>
      <c r="F26" s="987"/>
      <c r="I26" s="264"/>
      <c r="K26" s="257"/>
      <c r="L26" s="257"/>
      <c r="M26" s="257"/>
      <c r="N26" s="257"/>
      <c r="O26" s="257"/>
    </row>
    <row r="27" spans="1:15" s="252" customFormat="1" ht="18">
      <c r="A27" s="261" t="s">
        <v>418</v>
      </c>
      <c r="B27" s="341" t="s">
        <v>490</v>
      </c>
      <c r="C27" s="413" t="s">
        <v>9</v>
      </c>
      <c r="D27" s="262">
        <f>D14-D26</f>
        <v>125</v>
      </c>
      <c r="E27" s="986" t="s">
        <v>56</v>
      </c>
      <c r="F27" s="987"/>
      <c r="I27" s="264"/>
      <c r="K27" s="257"/>
      <c r="L27" s="257"/>
      <c r="M27" s="257"/>
      <c r="N27" s="257"/>
      <c r="O27" s="257"/>
    </row>
    <row r="28" spans="1:15" s="252" customFormat="1" ht="18">
      <c r="A28" s="261" t="s">
        <v>419</v>
      </c>
      <c r="B28" s="341" t="s">
        <v>417</v>
      </c>
      <c r="C28" s="413" t="s">
        <v>4</v>
      </c>
      <c r="D28" s="262">
        <f>Escavação!F39</f>
        <v>5</v>
      </c>
      <c r="E28" s="986" t="s">
        <v>405</v>
      </c>
      <c r="F28" s="987"/>
      <c r="I28" s="264"/>
      <c r="K28" s="257"/>
      <c r="L28" s="257"/>
      <c r="M28" s="257"/>
      <c r="N28" s="257"/>
      <c r="O28" s="257"/>
    </row>
    <row r="29" spans="1:15" s="252" customFormat="1" ht="18">
      <c r="A29" s="261" t="s">
        <v>420</v>
      </c>
      <c r="B29" s="341" t="s">
        <v>476</v>
      </c>
      <c r="C29" s="413" t="s">
        <v>4</v>
      </c>
      <c r="D29" s="262">
        <f>Escavação!F40</f>
        <v>7</v>
      </c>
      <c r="E29" s="986" t="s">
        <v>405</v>
      </c>
      <c r="F29" s="987"/>
      <c r="I29" s="264"/>
      <c r="K29" s="257"/>
      <c r="L29" s="257"/>
      <c r="M29" s="257"/>
      <c r="N29" s="257"/>
      <c r="O29" s="257"/>
    </row>
    <row r="30" spans="1:15" s="252" customFormat="1" ht="18">
      <c r="A30" s="261" t="s">
        <v>421</v>
      </c>
      <c r="B30" s="341" t="s">
        <v>568</v>
      </c>
      <c r="C30" s="761" t="s">
        <v>4</v>
      </c>
      <c r="D30" s="262">
        <f>Escavação!F43</f>
        <v>1</v>
      </c>
      <c r="E30" s="986" t="s">
        <v>405</v>
      </c>
      <c r="F30" s="987"/>
      <c r="I30" s="264"/>
      <c r="K30" s="257"/>
      <c r="L30" s="257"/>
      <c r="M30" s="257"/>
      <c r="N30" s="257"/>
      <c r="O30" s="257"/>
    </row>
    <row r="31" spans="1:15" s="252" customFormat="1" ht="18">
      <c r="A31" s="261" t="s">
        <v>422</v>
      </c>
      <c r="B31" s="341" t="s">
        <v>473</v>
      </c>
      <c r="C31" s="413" t="s">
        <v>4</v>
      </c>
      <c r="D31" s="262">
        <f>Escavação!F51</f>
        <v>1</v>
      </c>
      <c r="E31" s="986" t="s">
        <v>405</v>
      </c>
      <c r="F31" s="987"/>
      <c r="I31" s="264"/>
      <c r="K31" s="257">
        <f>D14-D26</f>
        <v>125</v>
      </c>
      <c r="L31" s="257"/>
      <c r="M31" s="257"/>
      <c r="N31" s="257"/>
      <c r="O31" s="257"/>
    </row>
    <row r="32" spans="1:15" s="252" customFormat="1" ht="18">
      <c r="A32" s="261" t="s">
        <v>567</v>
      </c>
      <c r="B32" s="341" t="s">
        <v>474</v>
      </c>
      <c r="C32" s="413" t="s">
        <v>4</v>
      </c>
      <c r="D32" s="262">
        <f>Escavação!F49</f>
        <v>28</v>
      </c>
      <c r="E32" s="986" t="s">
        <v>405</v>
      </c>
      <c r="F32" s="987"/>
      <c r="I32" s="264"/>
      <c r="K32" s="257"/>
      <c r="L32" s="257"/>
      <c r="M32" s="257"/>
      <c r="N32" s="257"/>
      <c r="O32" s="257"/>
    </row>
    <row r="33" spans="1:15" s="252" customFormat="1" ht="18.75" thickBot="1">
      <c r="A33" s="266"/>
      <c r="B33" s="373"/>
      <c r="C33" s="415"/>
      <c r="D33" s="265"/>
      <c r="E33" s="1007"/>
      <c r="F33" s="1008"/>
      <c r="I33" s="264"/>
      <c r="K33" s="257"/>
      <c r="L33" s="257"/>
      <c r="M33" s="257"/>
      <c r="N33" s="257"/>
      <c r="O33" s="257"/>
    </row>
    <row r="34" spans="1:15" s="267" customFormat="1" ht="15.75">
      <c r="A34" s="350" t="s">
        <v>51</v>
      </c>
      <c r="B34" s="351" t="s">
        <v>423</v>
      </c>
      <c r="C34" s="352"/>
      <c r="D34" s="502"/>
      <c r="E34" s="1024"/>
      <c r="F34" s="1025"/>
      <c r="I34" s="268"/>
      <c r="K34" s="269"/>
      <c r="L34" s="268"/>
      <c r="M34" s="270"/>
      <c r="N34" s="270"/>
      <c r="O34" s="268"/>
    </row>
    <row r="35" spans="1:15" s="252" customFormat="1" ht="18">
      <c r="A35" s="374" t="s">
        <v>52</v>
      </c>
      <c r="B35" s="341" t="s">
        <v>217</v>
      </c>
      <c r="C35" s="585" t="s">
        <v>3</v>
      </c>
      <c r="D35" s="271">
        <v>4028.8</v>
      </c>
      <c r="E35" s="986" t="s">
        <v>189</v>
      </c>
      <c r="F35" s="987"/>
      <c r="H35" s="272"/>
      <c r="I35" s="264"/>
      <c r="K35" s="257"/>
      <c r="L35" s="257"/>
      <c r="M35" s="257"/>
      <c r="N35" s="257"/>
      <c r="O35" s="257"/>
    </row>
    <row r="36" spans="1:15" s="252" customFormat="1" ht="18">
      <c r="A36" s="374" t="s">
        <v>53</v>
      </c>
      <c r="B36" s="341" t="s">
        <v>512</v>
      </c>
      <c r="C36" s="585" t="s">
        <v>45</v>
      </c>
      <c r="D36" s="271">
        <v>1009</v>
      </c>
      <c r="E36" s="986" t="s">
        <v>189</v>
      </c>
      <c r="F36" s="987"/>
      <c r="H36" s="272"/>
      <c r="I36" s="264"/>
      <c r="K36" s="257"/>
      <c r="L36" s="257"/>
      <c r="M36" s="257"/>
      <c r="N36" s="257"/>
      <c r="O36" s="257"/>
    </row>
    <row r="37" spans="1:15" s="252" customFormat="1" ht="18">
      <c r="A37" s="374" t="s">
        <v>54</v>
      </c>
      <c r="B37" s="341" t="s">
        <v>513</v>
      </c>
      <c r="C37" s="585" t="s">
        <v>3</v>
      </c>
      <c r="D37" s="271">
        <f>D35</f>
        <v>4028.8</v>
      </c>
      <c r="E37" s="986" t="s">
        <v>189</v>
      </c>
      <c r="F37" s="987"/>
      <c r="H37" s="272"/>
      <c r="I37" s="264"/>
      <c r="K37" s="257"/>
      <c r="L37" s="257"/>
      <c r="M37" s="257"/>
      <c r="N37" s="257"/>
      <c r="O37" s="257"/>
    </row>
    <row r="38" spans="1:15" s="252" customFormat="1" ht="18">
      <c r="A38" s="374" t="s">
        <v>55</v>
      </c>
      <c r="B38" s="341" t="s">
        <v>515</v>
      </c>
      <c r="C38" s="413" t="s">
        <v>9</v>
      </c>
      <c r="D38" s="271">
        <f>ROUND(D39*0.15,1)</f>
        <v>253.1</v>
      </c>
      <c r="E38" s="986" t="s">
        <v>569</v>
      </c>
      <c r="F38" s="987"/>
      <c r="G38" s="273"/>
      <c r="H38" s="273"/>
      <c r="I38" s="264"/>
      <c r="K38" s="257"/>
      <c r="L38" s="257"/>
      <c r="M38" s="257"/>
      <c r="N38" s="257"/>
      <c r="O38" s="257"/>
    </row>
    <row r="39" spans="1:15" s="252" customFormat="1" ht="18">
      <c r="A39" s="374" t="s">
        <v>467</v>
      </c>
      <c r="B39" s="341" t="s">
        <v>514</v>
      </c>
      <c r="C39" s="586" t="s">
        <v>3</v>
      </c>
      <c r="D39" s="381">
        <v>1687</v>
      </c>
      <c r="E39" s="986" t="s">
        <v>189</v>
      </c>
      <c r="F39" s="987"/>
      <c r="G39" s="273"/>
      <c r="H39" s="273"/>
      <c r="I39" s="264"/>
      <c r="K39" s="257"/>
      <c r="L39" s="257"/>
      <c r="M39" s="257"/>
      <c r="N39" s="257"/>
      <c r="O39" s="257"/>
    </row>
    <row r="40" spans="1:15" s="252" customFormat="1" ht="18.75" thickBot="1">
      <c r="A40" s="375"/>
      <c r="B40" s="349"/>
      <c r="C40" s="414"/>
      <c r="D40" s="274"/>
      <c r="E40" s="1003"/>
      <c r="F40" s="1004"/>
      <c r="G40" s="273"/>
      <c r="H40" s="273"/>
      <c r="I40" s="264"/>
      <c r="K40" s="257"/>
      <c r="L40" s="257"/>
      <c r="M40" s="257"/>
      <c r="N40" s="257"/>
      <c r="O40" s="257"/>
    </row>
    <row r="41" spans="1:15" s="267" customFormat="1" ht="15.75">
      <c r="A41" s="506" t="s">
        <v>482</v>
      </c>
      <c r="B41" s="507" t="s">
        <v>141</v>
      </c>
      <c r="C41" s="508"/>
      <c r="D41" s="509"/>
      <c r="E41" s="1015"/>
      <c r="F41" s="1016"/>
      <c r="I41" s="268"/>
      <c r="K41" s="269"/>
      <c r="L41" s="268"/>
      <c r="M41" s="270"/>
      <c r="N41" s="270"/>
      <c r="O41" s="268"/>
    </row>
    <row r="42" spans="1:15" s="267" customFormat="1" ht="15.75">
      <c r="A42" s="275" t="s">
        <v>483</v>
      </c>
      <c r="B42" s="260" t="s">
        <v>218</v>
      </c>
      <c r="C42" s="276" t="s">
        <v>4</v>
      </c>
      <c r="D42" s="262">
        <v>4</v>
      </c>
      <c r="E42" s="986" t="s">
        <v>189</v>
      </c>
      <c r="F42" s="987"/>
      <c r="I42" s="268"/>
      <c r="K42" s="269"/>
      <c r="L42" s="268"/>
      <c r="M42" s="270"/>
      <c r="N42" s="270"/>
      <c r="O42" s="268"/>
    </row>
    <row r="43" spans="1:15" s="267" customFormat="1" ht="16.5" thickBot="1">
      <c r="A43" s="277" t="s">
        <v>484</v>
      </c>
      <c r="B43" s="278" t="s">
        <v>214</v>
      </c>
      <c r="C43" s="279" t="s">
        <v>4</v>
      </c>
      <c r="D43" s="259">
        <v>2</v>
      </c>
      <c r="E43" s="1005" t="s">
        <v>189</v>
      </c>
      <c r="F43" s="1006"/>
      <c r="I43" s="268"/>
      <c r="K43" s="269"/>
      <c r="L43" s="268"/>
      <c r="M43" s="270"/>
      <c r="N43" s="270"/>
      <c r="O43" s="268"/>
    </row>
    <row r="44" spans="1:15" s="267" customFormat="1" ht="16.5" thickBot="1">
      <c r="A44" s="280"/>
      <c r="B44" s="281"/>
      <c r="C44" s="282"/>
      <c r="D44" s="283"/>
      <c r="E44" s="284"/>
      <c r="F44" s="284"/>
      <c r="I44" s="268"/>
      <c r="K44" s="269"/>
      <c r="L44" s="268"/>
      <c r="M44" s="270"/>
      <c r="N44" s="270"/>
      <c r="O44" s="268"/>
    </row>
    <row r="45" spans="1:15" s="267" customFormat="1" ht="15.75">
      <c r="A45" s="1022" t="str">
        <f>'dados de entrada'!B15</f>
        <v>PREFEITURA MUNICIPAL DE BOMBINHAS</v>
      </c>
      <c r="B45" s="1023"/>
      <c r="C45" s="999" t="s">
        <v>198</v>
      </c>
      <c r="D45" s="1000"/>
      <c r="E45" s="1000"/>
      <c r="F45" s="1018"/>
      <c r="G45" s="242"/>
      <c r="H45" s="242"/>
      <c r="I45" s="285"/>
      <c r="J45" s="286"/>
      <c r="K45" s="269"/>
      <c r="L45" s="268"/>
      <c r="M45" s="270"/>
      <c r="N45" s="270"/>
      <c r="O45" s="268"/>
    </row>
    <row r="46" spans="1:15" s="267" customFormat="1" ht="15.75">
      <c r="A46" s="988"/>
      <c r="B46" s="990"/>
      <c r="C46" s="991"/>
      <c r="D46" s="992"/>
      <c r="E46" s="992"/>
      <c r="F46" s="993"/>
      <c r="G46" s="287"/>
      <c r="H46" s="287"/>
      <c r="I46" s="285"/>
      <c r="J46" s="286"/>
      <c r="K46" s="269"/>
      <c r="L46" s="268"/>
      <c r="M46" s="270"/>
      <c r="N46" s="270"/>
      <c r="O46" s="268"/>
    </row>
    <row r="47" spans="1:15" s="267" customFormat="1" ht="15.75" customHeight="1">
      <c r="A47" s="988"/>
      <c r="B47" s="990"/>
      <c r="C47" s="1037" t="s">
        <v>211</v>
      </c>
      <c r="D47" s="1038"/>
      <c r="E47" s="1038"/>
      <c r="F47" s="1039"/>
      <c r="G47" s="288"/>
      <c r="H47" s="289"/>
      <c r="I47" s="285"/>
      <c r="J47" s="286"/>
      <c r="K47" s="269"/>
      <c r="L47" s="268"/>
      <c r="M47" s="270"/>
      <c r="N47" s="270"/>
      <c r="O47" s="268"/>
    </row>
    <row r="48" spans="1:15" s="267" customFormat="1" ht="15.75">
      <c r="A48" s="988"/>
      <c r="B48" s="990"/>
      <c r="C48" s="994" t="s">
        <v>208</v>
      </c>
      <c r="D48" s="995"/>
      <c r="E48" s="995"/>
      <c r="F48" s="996"/>
      <c r="G48" s="290"/>
      <c r="H48" s="291"/>
      <c r="I48" s="285"/>
      <c r="J48" s="286"/>
      <c r="K48" s="269"/>
      <c r="L48" s="268"/>
      <c r="M48" s="270"/>
      <c r="N48" s="270"/>
      <c r="O48" s="268"/>
    </row>
    <row r="49" spans="1:15" s="267" customFormat="1" ht="15.75">
      <c r="A49" s="988"/>
      <c r="B49" s="990"/>
      <c r="C49" s="991"/>
      <c r="D49" s="992"/>
      <c r="E49" s="992"/>
      <c r="F49" s="993"/>
      <c r="G49" s="291"/>
      <c r="H49" s="291"/>
      <c r="I49" s="285"/>
      <c r="J49" s="286"/>
      <c r="K49" s="269"/>
      <c r="L49" s="268"/>
      <c r="M49" s="270"/>
      <c r="N49" s="270"/>
      <c r="O49" s="268"/>
    </row>
    <row r="50" spans="1:15" s="267" customFormat="1" ht="15.75">
      <c r="A50" s="988"/>
      <c r="B50" s="990"/>
      <c r="C50" s="991"/>
      <c r="D50" s="992"/>
      <c r="E50" s="992"/>
      <c r="F50" s="993"/>
      <c r="G50" s="291"/>
      <c r="H50" s="291"/>
      <c r="I50" s="285"/>
      <c r="J50" s="286"/>
      <c r="K50" s="269"/>
      <c r="L50" s="268"/>
      <c r="M50" s="270"/>
      <c r="N50" s="270"/>
      <c r="O50" s="268"/>
    </row>
    <row r="51" spans="1:15" s="267" customFormat="1" ht="15.75">
      <c r="A51" s="988"/>
      <c r="B51" s="990"/>
      <c r="C51" s="991"/>
      <c r="D51" s="992"/>
      <c r="E51" s="992"/>
      <c r="F51" s="993"/>
      <c r="G51" s="291"/>
      <c r="H51" s="291"/>
      <c r="I51" s="268"/>
      <c r="K51" s="269"/>
      <c r="L51" s="268"/>
      <c r="M51" s="270"/>
      <c r="N51" s="270"/>
      <c r="O51" s="268"/>
    </row>
    <row r="52" spans="1:15" s="267" customFormat="1" ht="15.75">
      <c r="A52" s="988" t="s">
        <v>199</v>
      </c>
      <c r="B52" s="990"/>
      <c r="C52" s="988" t="s">
        <v>200</v>
      </c>
      <c r="D52" s="989"/>
      <c r="E52" s="989"/>
      <c r="F52" s="990"/>
      <c r="G52" s="242"/>
      <c r="H52" s="242"/>
      <c r="I52" s="268"/>
      <c r="K52" s="269"/>
      <c r="L52" s="268"/>
      <c r="M52" s="270"/>
      <c r="N52" s="270"/>
      <c r="O52" s="268"/>
    </row>
    <row r="53" spans="1:15" s="267" customFormat="1" ht="16.5">
      <c r="A53" s="1029" t="str">
        <f>'dados de entrada'!B5</f>
        <v>Ana Paula da Silva</v>
      </c>
      <c r="B53" s="1031"/>
      <c r="C53" s="1029" t="str">
        <f>'dados de entrada'!B6</f>
        <v>Carlos Alberto Bley  </v>
      </c>
      <c r="D53" s="1030"/>
      <c r="E53" s="1030"/>
      <c r="F53" s="1031"/>
      <c r="G53" s="292"/>
      <c r="H53" s="292"/>
      <c r="I53" s="268"/>
      <c r="K53" s="269"/>
      <c r="L53" s="268"/>
      <c r="M53" s="270"/>
      <c r="N53" s="270"/>
      <c r="O53" s="268"/>
    </row>
    <row r="54" spans="1:15" s="267" customFormat="1" ht="16.5" thickBot="1">
      <c r="A54" s="1035" t="s">
        <v>468</v>
      </c>
      <c r="B54" s="1036"/>
      <c r="C54" s="1032" t="str">
        <f>'dados de entrada'!B17</f>
        <v>Engenheiro Civil - CREA SC 8.333-3</v>
      </c>
      <c r="D54" s="1033"/>
      <c r="E54" s="1033"/>
      <c r="F54" s="1034"/>
      <c r="G54" s="293"/>
      <c r="H54" s="293"/>
      <c r="I54" s="268"/>
      <c r="K54" s="269"/>
      <c r="L54" s="268"/>
      <c r="M54" s="270"/>
      <c r="N54" s="270"/>
      <c r="O54" s="268"/>
    </row>
    <row r="55" spans="1:15" s="267" customFormat="1" ht="15.75">
      <c r="A55" s="280"/>
      <c r="B55" s="281"/>
      <c r="C55" s="282"/>
      <c r="D55" s="283"/>
      <c r="E55" s="284"/>
      <c r="F55" s="284"/>
      <c r="G55" s="286"/>
      <c r="H55" s="286"/>
      <c r="I55" s="268"/>
      <c r="K55" s="269"/>
      <c r="L55" s="268"/>
      <c r="M55" s="270"/>
      <c r="N55" s="270"/>
      <c r="O55" s="268"/>
    </row>
    <row r="56" spans="1:15" s="267" customFormat="1" ht="15.75">
      <c r="A56" s="280"/>
      <c r="B56" s="281"/>
      <c r="C56" s="282"/>
      <c r="D56" s="283"/>
      <c r="E56" s="284"/>
      <c r="F56" s="284"/>
      <c r="I56" s="268"/>
      <c r="K56" s="269"/>
      <c r="L56" s="268"/>
      <c r="M56" s="270"/>
      <c r="N56" s="270"/>
      <c r="O56" s="268"/>
    </row>
    <row r="57" spans="1:15" s="267" customFormat="1" ht="15.75">
      <c r="A57" s="280"/>
      <c r="B57" s="281"/>
      <c r="C57" s="282"/>
      <c r="D57" s="283"/>
      <c r="E57" s="284"/>
      <c r="F57" s="284"/>
      <c r="I57" s="268"/>
      <c r="K57" s="269"/>
      <c r="L57" s="268"/>
      <c r="M57" s="270"/>
      <c r="N57" s="270"/>
      <c r="O57" s="268"/>
    </row>
    <row r="58" spans="1:15" s="267" customFormat="1" ht="15.75">
      <c r="A58" s="280"/>
      <c r="B58" s="281"/>
      <c r="C58" s="282"/>
      <c r="D58" s="283"/>
      <c r="E58" s="284"/>
      <c r="F58" s="284"/>
      <c r="I58" s="268"/>
      <c r="K58" s="269"/>
      <c r="L58" s="268"/>
      <c r="M58" s="270"/>
      <c r="N58" s="270"/>
      <c r="O58" s="268"/>
    </row>
    <row r="59" spans="1:15" s="267" customFormat="1" ht="15.75">
      <c r="A59" s="280"/>
      <c r="B59" s="281"/>
      <c r="C59" s="282"/>
      <c r="D59" s="283"/>
      <c r="E59" s="284"/>
      <c r="F59" s="284"/>
      <c r="I59" s="268"/>
      <c r="K59" s="269"/>
      <c r="L59" s="268"/>
      <c r="M59" s="270"/>
      <c r="N59" s="270"/>
      <c r="O59" s="268"/>
    </row>
    <row r="60" spans="1:15" s="267" customFormat="1" ht="15.75">
      <c r="A60" s="280"/>
      <c r="B60" s="281"/>
      <c r="C60" s="282"/>
      <c r="D60" s="283"/>
      <c r="E60" s="284"/>
      <c r="F60" s="284"/>
      <c r="I60" s="268"/>
      <c r="K60" s="269"/>
      <c r="L60" s="268"/>
      <c r="M60" s="270"/>
      <c r="N60" s="270"/>
      <c r="O60" s="268"/>
    </row>
    <row r="61" spans="1:15" s="267" customFormat="1" ht="15.75">
      <c r="A61" s="280"/>
      <c r="B61" s="281"/>
      <c r="C61" s="282"/>
      <c r="D61" s="283"/>
      <c r="E61" s="284"/>
      <c r="F61" s="284"/>
      <c r="I61" s="268"/>
      <c r="K61" s="269"/>
      <c r="L61" s="268"/>
      <c r="M61" s="270"/>
      <c r="N61" s="270"/>
      <c r="O61" s="268"/>
    </row>
    <row r="62" spans="1:15" s="267" customFormat="1" ht="15.75">
      <c r="A62" s="280"/>
      <c r="B62" s="281"/>
      <c r="C62" s="282"/>
      <c r="D62" s="283"/>
      <c r="E62" s="284"/>
      <c r="F62" s="284"/>
      <c r="I62" s="268"/>
      <c r="K62" s="269"/>
      <c r="L62" s="268"/>
      <c r="M62" s="270"/>
      <c r="N62" s="270"/>
      <c r="O62" s="268"/>
    </row>
  </sheetData>
  <sheetProtection/>
  <mergeCells count="67">
    <mergeCell ref="C8:F8"/>
    <mergeCell ref="E9:F9"/>
    <mergeCell ref="E10:F10"/>
    <mergeCell ref="C53:F53"/>
    <mergeCell ref="C54:F54"/>
    <mergeCell ref="A52:B52"/>
    <mergeCell ref="A53:B53"/>
    <mergeCell ref="A54:B54"/>
    <mergeCell ref="E21:F21"/>
    <mergeCell ref="C47:F47"/>
    <mergeCell ref="A51:B51"/>
    <mergeCell ref="C45:F45"/>
    <mergeCell ref="C51:F51"/>
    <mergeCell ref="A45:B45"/>
    <mergeCell ref="A46:B46"/>
    <mergeCell ref="E19:F19"/>
    <mergeCell ref="E26:F26"/>
    <mergeCell ref="E37:F37"/>
    <mergeCell ref="E34:F34"/>
    <mergeCell ref="E42:F42"/>
    <mergeCell ref="E43:F43"/>
    <mergeCell ref="E41:F41"/>
    <mergeCell ref="E35:F35"/>
    <mergeCell ref="A50:B50"/>
    <mergeCell ref="A2:F2"/>
    <mergeCell ref="C5:F5"/>
    <mergeCell ref="E11:F11"/>
    <mergeCell ref="E16:F16"/>
    <mergeCell ref="C6:F6"/>
    <mergeCell ref="A47:B47"/>
    <mergeCell ref="A48:B48"/>
    <mergeCell ref="A49:B49"/>
    <mergeCell ref="E15:F15"/>
    <mergeCell ref="E14:F14"/>
    <mergeCell ref="E36:F36"/>
    <mergeCell ref="A1:F1"/>
    <mergeCell ref="A3:E3"/>
    <mergeCell ref="A4:E4"/>
    <mergeCell ref="A6:B6"/>
    <mergeCell ref="E13:F13"/>
    <mergeCell ref="A7:B7"/>
    <mergeCell ref="A5:B5"/>
    <mergeCell ref="C7:E7"/>
    <mergeCell ref="E31:F31"/>
    <mergeCell ref="E32:F32"/>
    <mergeCell ref="E40:F40"/>
    <mergeCell ref="E12:F12"/>
    <mergeCell ref="E27:F27"/>
    <mergeCell ref="E33:F33"/>
    <mergeCell ref="E30:F30"/>
    <mergeCell ref="E17:F17"/>
    <mergeCell ref="E28:F28"/>
    <mergeCell ref="E29:F29"/>
    <mergeCell ref="C52:F52"/>
    <mergeCell ref="C50:F50"/>
    <mergeCell ref="C48:F48"/>
    <mergeCell ref="C49:F49"/>
    <mergeCell ref="C46:F46"/>
    <mergeCell ref="E38:F38"/>
    <mergeCell ref="E39:F39"/>
    <mergeCell ref="D23:D25"/>
    <mergeCell ref="C23:C25"/>
    <mergeCell ref="B23:B25"/>
    <mergeCell ref="A23:A25"/>
    <mergeCell ref="E18:F18"/>
    <mergeCell ref="E20:F20"/>
    <mergeCell ref="E22:F22"/>
  </mergeCells>
  <printOptions horizontalCentered="1"/>
  <pageMargins left="0.3937007874015748" right="0.3937007874015748" top="0.7874015748031497" bottom="0.3937007874015748" header="0.15748031496062992" footer="0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tabSelected="1" zoomScalePageLayoutView="0" workbookViewId="0" topLeftCell="A1">
      <selection activeCell="K6" sqref="K6"/>
    </sheetView>
  </sheetViews>
  <sheetFormatPr defaultColWidth="9.140625" defaultRowHeight="12.75"/>
  <cols>
    <col min="1" max="1" width="5.28125" style="0" customWidth="1"/>
    <col min="2" max="2" width="22.57421875" style="0" bestFit="1" customWidth="1"/>
    <col min="3" max="3" width="93.140625" style="0" customWidth="1"/>
    <col min="4" max="4" width="5.8515625" style="0" customWidth="1"/>
    <col min="5" max="6" width="12.7109375" style="0" customWidth="1"/>
    <col min="7" max="7" width="18.8515625" style="0" bestFit="1" customWidth="1"/>
    <col min="8" max="8" width="12.7109375" style="0" customWidth="1"/>
    <col min="9" max="9" width="11.7109375" style="66" bestFit="1" customWidth="1"/>
    <col min="10" max="11" width="13.7109375" style="0" bestFit="1" customWidth="1"/>
    <col min="12" max="12" width="6.57421875" style="0" bestFit="1" customWidth="1"/>
    <col min="13" max="13" width="10.421875" style="0" bestFit="1" customWidth="1"/>
    <col min="14" max="14" width="18.57421875" style="0" customWidth="1"/>
    <col min="16" max="16" width="13.28125" style="0" bestFit="1" customWidth="1"/>
  </cols>
  <sheetData>
    <row r="1" spans="1:8" ht="18">
      <c r="A1" s="1062" t="s">
        <v>57</v>
      </c>
      <c r="B1" s="1062"/>
      <c r="C1" s="1062"/>
      <c r="D1" s="1062"/>
      <c r="E1" s="1062"/>
      <c r="F1" s="1062"/>
      <c r="G1" s="1062"/>
      <c r="H1" s="1062"/>
    </row>
    <row r="2" spans="1:8" ht="26.25" thickBot="1">
      <c r="A2" s="1063" t="str">
        <f>'dados de entrada'!B15</f>
        <v>PREFEITURA MUNICIPAL DE BOMBINHAS</v>
      </c>
      <c r="B2" s="1063"/>
      <c r="C2" s="1063"/>
      <c r="D2" s="1063"/>
      <c r="E2" s="1063"/>
      <c r="F2" s="1063"/>
      <c r="G2" s="1063"/>
      <c r="H2" s="1063"/>
    </row>
    <row r="3" spans="1:8" ht="12.75">
      <c r="A3" s="1064" t="s">
        <v>13</v>
      </c>
      <c r="B3" s="1053"/>
      <c r="C3" s="1053"/>
      <c r="D3" s="1053"/>
      <c r="E3" s="1053"/>
      <c r="F3" s="1065"/>
      <c r="G3" s="1066" t="s">
        <v>107</v>
      </c>
      <c r="H3" s="1052"/>
    </row>
    <row r="4" spans="1:9" s="68" customFormat="1" ht="18">
      <c r="A4" s="1082" t="str">
        <f>'dados de entrada'!B8</f>
        <v>PAVIMENTAÇÃO COM LAJOTAS SEXTAVADAS E DRENAGEM PLUVIAL </v>
      </c>
      <c r="B4" s="1083"/>
      <c r="C4" s="1083"/>
      <c r="D4" s="1083"/>
      <c r="E4" s="1083"/>
      <c r="F4" s="1084"/>
      <c r="G4" s="1085">
        <f>'dados de entrada'!B3</f>
        <v>41730</v>
      </c>
      <c r="H4" s="1086"/>
      <c r="I4" s="67"/>
    </row>
    <row r="5" spans="1:10" ht="12.75">
      <c r="A5" s="1067" t="s">
        <v>194</v>
      </c>
      <c r="B5" s="1068"/>
      <c r="C5" s="1068"/>
      <c r="D5" s="1069"/>
      <c r="E5" s="1070" t="s">
        <v>15</v>
      </c>
      <c r="F5" s="1068"/>
      <c r="G5" s="1049"/>
      <c r="H5" s="1071"/>
      <c r="J5" s="70"/>
    </row>
    <row r="6" spans="1:11" ht="18.75" thickBot="1">
      <c r="A6" s="1072" t="str">
        <f>'dados de entrada'!C19</f>
        <v>RUA MERGULHÃO CAÇADOR - BAIRRO BOMBAS</v>
      </c>
      <c r="B6" s="1073"/>
      <c r="C6" s="1073"/>
      <c r="D6" s="1074"/>
      <c r="E6" s="1075" t="s">
        <v>195</v>
      </c>
      <c r="F6" s="1076"/>
      <c r="G6" s="1076"/>
      <c r="H6" s="1077"/>
      <c r="I6" s="71"/>
      <c r="J6" s="72"/>
      <c r="K6" s="48"/>
    </row>
    <row r="7" spans="1:9" s="74" customFormat="1" ht="15.75" thickBot="1">
      <c r="A7" s="1078"/>
      <c r="B7" s="1079"/>
      <c r="C7" s="1079"/>
      <c r="D7" s="1079"/>
      <c r="E7" s="1235" t="s">
        <v>399</v>
      </c>
      <c r="F7" s="1236">
        <f>'dados de entrada'!B10</f>
        <v>0.2373</v>
      </c>
      <c r="G7" s="1238" t="s">
        <v>592</v>
      </c>
      <c r="H7" s="1237" t="str">
        <f>'dados de entrada'!B11</f>
        <v>5.045.098-0</v>
      </c>
      <c r="I7" s="73"/>
    </row>
    <row r="8" spans="1:9" s="76" customFormat="1" ht="21" thickBot="1">
      <c r="A8" s="1087">
        <f>'dados de entrada'!B3</f>
        <v>41730</v>
      </c>
      <c r="B8" s="1087"/>
      <c r="C8" s="217" t="s">
        <v>401</v>
      </c>
      <c r="D8" s="1088" t="s">
        <v>398</v>
      </c>
      <c r="E8" s="1088"/>
      <c r="F8" s="1088"/>
      <c r="G8" s="1088"/>
      <c r="H8" s="1088"/>
      <c r="I8" s="75"/>
    </row>
    <row r="9" spans="1:11" s="3" customFormat="1" ht="16.5" thickBot="1">
      <c r="A9" s="129" t="s">
        <v>0</v>
      </c>
      <c r="B9" s="77" t="s">
        <v>485</v>
      </c>
      <c r="C9" s="78" t="s">
        <v>1</v>
      </c>
      <c r="D9" s="78" t="s">
        <v>2</v>
      </c>
      <c r="E9" s="78" t="s">
        <v>143</v>
      </c>
      <c r="F9" s="78" t="s">
        <v>196</v>
      </c>
      <c r="G9" s="78" t="s">
        <v>144</v>
      </c>
      <c r="H9" s="79" t="s">
        <v>7</v>
      </c>
      <c r="I9" s="80"/>
      <c r="K9" s="81">
        <f>'dados de entrada'!B10+1</f>
        <v>1.2373</v>
      </c>
    </row>
    <row r="10" spans="1:13" s="84" customFormat="1" ht="15">
      <c r="A10" s="355" t="s">
        <v>17</v>
      </c>
      <c r="B10" s="356"/>
      <c r="C10" s="132" t="str">
        <f>MEMORIAL!B10</f>
        <v>SERVIÇOS INICIAIS</v>
      </c>
      <c r="D10" s="357"/>
      <c r="E10" s="82"/>
      <c r="F10" s="522"/>
      <c r="G10" s="523">
        <f>SUM(G11)</f>
        <v>1359</v>
      </c>
      <c r="H10" s="83">
        <f>G10/$G$43</f>
        <v>0.0034776432449313346</v>
      </c>
      <c r="I10" s="313"/>
      <c r="J10" s="132" t="s">
        <v>23</v>
      </c>
      <c r="K10" s="133"/>
      <c r="M10" s="85"/>
    </row>
    <row r="11" spans="1:16" s="3" customFormat="1" ht="15">
      <c r="A11" s="173" t="s">
        <v>8</v>
      </c>
      <c r="B11" s="521" t="s">
        <v>148</v>
      </c>
      <c r="C11" s="353" t="str">
        <f>MEMORIAL!B11</f>
        <v>Placa de obra</v>
      </c>
      <c r="D11" s="518" t="str">
        <f>MEMORIAL!C11</f>
        <v>m2</v>
      </c>
      <c r="E11" s="86">
        <f>MEMORIAL!D11</f>
        <v>3</v>
      </c>
      <c r="F11" s="345">
        <f>ROUND(K11*$K$9,2)</f>
        <v>453</v>
      </c>
      <c r="G11" s="345">
        <f>ROUND(E11*F11,2)</f>
        <v>1359</v>
      </c>
      <c r="H11" s="87">
        <f>G11/$G$43</f>
        <v>0.0034776432449313346</v>
      </c>
      <c r="I11" s="314"/>
      <c r="J11" s="176">
        <v>366.12</v>
      </c>
      <c r="K11" s="204">
        <f>I11+J11</f>
        <v>366.12</v>
      </c>
      <c r="L11" s="89"/>
      <c r="M11" s="147"/>
      <c r="N11" s="148"/>
      <c r="O11" s="148"/>
      <c r="P11" s="148"/>
    </row>
    <row r="12" spans="1:16" s="3" customFormat="1" ht="15.75" thickBot="1">
      <c r="A12" s="216"/>
      <c r="B12" s="524"/>
      <c r="C12" s="380"/>
      <c r="D12" s="525"/>
      <c r="E12" s="102"/>
      <c r="F12" s="348"/>
      <c r="G12" s="348"/>
      <c r="H12" s="103"/>
      <c r="I12" s="314"/>
      <c r="J12" s="176"/>
      <c r="K12" s="204"/>
      <c r="L12" s="89"/>
      <c r="M12" s="147"/>
      <c r="N12" s="148"/>
      <c r="O12" s="148"/>
      <c r="P12" s="148"/>
    </row>
    <row r="13" spans="1:16" s="84" customFormat="1" ht="15.75">
      <c r="A13" s="406" t="s">
        <v>160</v>
      </c>
      <c r="B13" s="519"/>
      <c r="C13" s="407" t="str">
        <f>MEMORIAL!B13</f>
        <v>DRENAGEM PLUVIAL</v>
      </c>
      <c r="D13" s="408"/>
      <c r="E13" s="520"/>
      <c r="F13" s="409"/>
      <c r="G13" s="409">
        <f>SUM(G14:G31)</f>
        <v>105113.14</v>
      </c>
      <c r="H13" s="308">
        <f>G13/$G$43</f>
        <v>0.26898160505851487</v>
      </c>
      <c r="I13" s="309"/>
      <c r="J13" s="176"/>
      <c r="K13" s="204"/>
      <c r="M13" s="149"/>
      <c r="N13" s="150"/>
      <c r="O13" s="150"/>
      <c r="P13" s="150"/>
    </row>
    <row r="14" spans="1:16" s="3" customFormat="1" ht="15">
      <c r="A14" s="693" t="str">
        <f>MEMORIAL!A14</f>
        <v>2.1</v>
      </c>
      <c r="B14" s="342">
        <v>73599</v>
      </c>
      <c r="C14" s="353" t="str">
        <f>MEMORIAL!B14</f>
        <v>Escavação mec. de valas em qualquer tipo de solo, 0,00 a 4,00 m</v>
      </c>
      <c r="D14" s="344" t="str">
        <f>MEMORIAL!C14</f>
        <v>m3</v>
      </c>
      <c r="E14" s="86">
        <f>MEMORIAL!D14</f>
        <v>588</v>
      </c>
      <c r="F14" s="345">
        <f aca="true" t="shared" si="0" ref="F14:F30">ROUND(K14*$K$9,2)</f>
        <v>9.49</v>
      </c>
      <c r="G14" s="345">
        <f aca="true" t="shared" si="1" ref="G14:G30">ROUND(E14*F14,2)</f>
        <v>5580.12</v>
      </c>
      <c r="H14" s="87">
        <f>G14/$G$43</f>
        <v>0.014279372055854481</v>
      </c>
      <c r="I14" s="309"/>
      <c r="J14" s="176">
        <v>7.67</v>
      </c>
      <c r="K14" s="204">
        <f aca="true" t="shared" si="2" ref="K14:K41">I14+J14</f>
        <v>7.67</v>
      </c>
      <c r="L14" s="89"/>
      <c r="M14" s="147"/>
      <c r="N14" s="151"/>
      <c r="O14" s="152"/>
      <c r="P14" s="148"/>
    </row>
    <row r="15" spans="1:16" s="3" customFormat="1" ht="15">
      <c r="A15" s="693" t="str">
        <f>MEMORIAL!A15</f>
        <v>2.2</v>
      </c>
      <c r="B15" s="342" t="s">
        <v>470</v>
      </c>
      <c r="C15" s="353" t="str">
        <f>MEMORIAL!B15</f>
        <v>Escoramento -  Pontaleteamento</v>
      </c>
      <c r="D15" s="344" t="str">
        <f>MEMORIAL!C15</f>
        <v>m2</v>
      </c>
      <c r="E15" s="86">
        <f>MEMORIAL!D15</f>
        <v>160</v>
      </c>
      <c r="F15" s="345">
        <f t="shared" si="0"/>
        <v>8.07</v>
      </c>
      <c r="G15" s="345">
        <f t="shared" si="1"/>
        <v>1291.2</v>
      </c>
      <c r="H15" s="87">
        <f aca="true" t="shared" si="3" ref="H15:H20">G15/$G$43</f>
        <v>0.003304144928517542</v>
      </c>
      <c r="I15" s="309"/>
      <c r="J15" s="176">
        <v>6.52</v>
      </c>
      <c r="K15" s="204">
        <f t="shared" si="2"/>
        <v>6.52</v>
      </c>
      <c r="L15" s="89"/>
      <c r="M15" s="147"/>
      <c r="N15" s="151"/>
      <c r="O15" s="152"/>
      <c r="P15" s="148"/>
    </row>
    <row r="16" spans="1:16" s="3" customFormat="1" ht="15">
      <c r="A16" s="693" t="str">
        <f>MEMORIAL!A16</f>
        <v>2.3</v>
      </c>
      <c r="B16" s="342" t="s">
        <v>191</v>
      </c>
      <c r="C16" s="353" t="str">
        <f>MEMORIAL!B16</f>
        <v>Lastro de brita</v>
      </c>
      <c r="D16" s="344" t="str">
        <f>MEMORIAL!C16</f>
        <v>m3</v>
      </c>
      <c r="E16" s="86">
        <f>MEMORIAL!D16</f>
        <v>15.408</v>
      </c>
      <c r="F16" s="345">
        <f t="shared" si="0"/>
        <v>120.25</v>
      </c>
      <c r="G16" s="345">
        <f t="shared" si="1"/>
        <v>1852.81</v>
      </c>
      <c r="H16" s="87">
        <f t="shared" si="3"/>
        <v>0.004741289316145126</v>
      </c>
      <c r="I16" s="309"/>
      <c r="J16" s="176">
        <v>97.19</v>
      </c>
      <c r="K16" s="204">
        <f t="shared" si="2"/>
        <v>97.19</v>
      </c>
      <c r="L16" s="89"/>
      <c r="M16" s="147"/>
      <c r="N16" s="151"/>
      <c r="O16" s="152"/>
      <c r="P16" s="148"/>
    </row>
    <row r="17" spans="1:16" s="3" customFormat="1" ht="15">
      <c r="A17" s="693" t="str">
        <f>MEMORIAL!A17</f>
        <v>2.4</v>
      </c>
      <c r="B17" s="342">
        <v>73730</v>
      </c>
      <c r="C17" s="353" t="str">
        <f>MEMORIAL!B17</f>
        <v>Assentamento de tubos de concreto diametro de 30 cm., armado ou simples</v>
      </c>
      <c r="D17" s="344" t="str">
        <f>MEMORIAL!C17</f>
        <v>m</v>
      </c>
      <c r="E17" s="86">
        <f>MEMORIAL!D17</f>
        <v>116</v>
      </c>
      <c r="F17" s="345">
        <f t="shared" si="0"/>
        <v>12.99</v>
      </c>
      <c r="G17" s="345">
        <f t="shared" si="1"/>
        <v>1506.84</v>
      </c>
      <c r="H17" s="87">
        <f t="shared" si="3"/>
        <v>0.003855961697713269</v>
      </c>
      <c r="I17" s="309"/>
      <c r="J17" s="176">
        <v>10.5</v>
      </c>
      <c r="K17" s="204">
        <f t="shared" si="2"/>
        <v>10.5</v>
      </c>
      <c r="L17" s="89"/>
      <c r="M17" s="147"/>
      <c r="N17" s="151"/>
      <c r="O17" s="152"/>
      <c r="P17" s="148"/>
    </row>
    <row r="18" spans="1:16" s="3" customFormat="1" ht="15">
      <c r="A18" s="693" t="str">
        <f>MEMORIAL!A18</f>
        <v>2.5</v>
      </c>
      <c r="B18" s="342">
        <v>7790</v>
      </c>
      <c r="C18" s="353" t="str">
        <f>MEMORIAL!B18</f>
        <v>Tubo de concreto simples classe - PS2 - NBR-8890 de Ø 30 cm, para águas pluviais</v>
      </c>
      <c r="D18" s="344" t="str">
        <f>MEMORIAL!C18</f>
        <v>m</v>
      </c>
      <c r="E18" s="86">
        <f>MEMORIAL!D18</f>
        <v>116</v>
      </c>
      <c r="F18" s="345">
        <f t="shared" si="0"/>
        <v>24.25</v>
      </c>
      <c r="G18" s="345">
        <f t="shared" si="1"/>
        <v>2813</v>
      </c>
      <c r="H18" s="87">
        <f t="shared" si="3"/>
        <v>0.007198388850619459</v>
      </c>
      <c r="I18" s="309"/>
      <c r="J18" s="176">
        <v>19.6</v>
      </c>
      <c r="K18" s="204">
        <f t="shared" si="2"/>
        <v>19.6</v>
      </c>
      <c r="L18" s="89"/>
      <c r="M18" s="147"/>
      <c r="N18" s="151"/>
      <c r="O18" s="152"/>
      <c r="P18" s="148"/>
    </row>
    <row r="19" spans="1:16" s="3" customFormat="1" ht="15">
      <c r="A19" s="693" t="str">
        <f>MEMORIAL!A19</f>
        <v>2.6</v>
      </c>
      <c r="B19" s="342">
        <v>73724</v>
      </c>
      <c r="C19" s="353" t="str">
        <f>MEMORIAL!B19</f>
        <v>Assentamento de tubos de concreto diametro de 40 cm., armado ou simples</v>
      </c>
      <c r="D19" s="344" t="str">
        <f>MEMORIAL!C19</f>
        <v>m</v>
      </c>
      <c r="E19" s="86">
        <f>MEMORIAL!D19</f>
        <v>359</v>
      </c>
      <c r="F19" s="345">
        <f t="shared" si="0"/>
        <v>18.5</v>
      </c>
      <c r="G19" s="345">
        <f t="shared" si="1"/>
        <v>6641.5</v>
      </c>
      <c r="H19" s="87">
        <f t="shared" si="3"/>
        <v>0.016995413989118073</v>
      </c>
      <c r="I19" s="309"/>
      <c r="J19" s="176">
        <v>14.95</v>
      </c>
      <c r="K19" s="204">
        <f t="shared" si="2"/>
        <v>14.95</v>
      </c>
      <c r="L19" s="89"/>
      <c r="M19" s="147"/>
      <c r="N19" s="151"/>
      <c r="O19" s="152"/>
      <c r="P19" s="148"/>
    </row>
    <row r="20" spans="1:16" s="3" customFormat="1" ht="15">
      <c r="A20" s="693" t="str">
        <f>MEMORIAL!A20</f>
        <v>2.7</v>
      </c>
      <c r="B20" s="342">
        <v>7761</v>
      </c>
      <c r="C20" s="353" t="str">
        <f>MEMORIAL!B20</f>
        <v>Tubo de concreto armado classe - PA2 PB NBR-8890/2007 de Ø 40 cm, para águas pluviais</v>
      </c>
      <c r="D20" s="344" t="str">
        <f>MEMORIAL!C20</f>
        <v>m</v>
      </c>
      <c r="E20" s="86">
        <f>MEMORIAL!D20</f>
        <v>359</v>
      </c>
      <c r="F20" s="345">
        <f t="shared" si="0"/>
        <v>70.74</v>
      </c>
      <c r="G20" s="345">
        <f t="shared" si="1"/>
        <v>25395.66</v>
      </c>
      <c r="H20" s="87">
        <f t="shared" si="3"/>
        <v>0.06498678841028176</v>
      </c>
      <c r="I20" s="309"/>
      <c r="J20" s="176">
        <v>57.17</v>
      </c>
      <c r="K20" s="204">
        <f t="shared" si="2"/>
        <v>57.17</v>
      </c>
      <c r="L20" s="89"/>
      <c r="M20" s="147"/>
      <c r="N20" s="151"/>
      <c r="O20" s="152"/>
      <c r="P20" s="148"/>
    </row>
    <row r="21" spans="1:16" s="333" customFormat="1" ht="15">
      <c r="A21" s="693" t="str">
        <f>MEMORIAL!A21</f>
        <v>2.8</v>
      </c>
      <c r="B21" s="342">
        <v>73722</v>
      </c>
      <c r="C21" s="353" t="str">
        <f>MEMORIAL!B21</f>
        <v>Assentamento de tubos de concreto diametro de 60 cm., armado ou simples</v>
      </c>
      <c r="D21" s="344" t="str">
        <f>MEMORIAL!C21</f>
        <v>m</v>
      </c>
      <c r="E21" s="86">
        <f>MEMORIAL!D21</f>
        <v>69</v>
      </c>
      <c r="F21" s="354">
        <f t="shared" si="0"/>
        <v>35.99</v>
      </c>
      <c r="G21" s="345">
        <f t="shared" si="1"/>
        <v>2483.31</v>
      </c>
      <c r="H21" s="326">
        <f aca="true" t="shared" si="4" ref="H21:H30">G21/$G$43</f>
        <v>0.00635472129990466</v>
      </c>
      <c r="I21" s="346"/>
      <c r="J21" s="176">
        <v>29.09</v>
      </c>
      <c r="K21" s="204">
        <f t="shared" si="2"/>
        <v>29.09</v>
      </c>
      <c r="L21" s="328"/>
      <c r="M21" s="329">
        <f>TRUNC(E21*F21,2)</f>
        <v>2483.31</v>
      </c>
      <c r="N21" s="330"/>
      <c r="O21" s="331"/>
      <c r="P21" s="332"/>
    </row>
    <row r="22" spans="1:16" s="3" customFormat="1" ht="15">
      <c r="A22" s="693" t="str">
        <f>MEMORIAL!A22</f>
        <v>2.9</v>
      </c>
      <c r="B22" s="342">
        <v>7762</v>
      </c>
      <c r="C22" s="353" t="str">
        <f>MEMORIAL!B22</f>
        <v>Tubo de concreto armado classe - PA2 PB NBR-8890/2007 de Ø 60 cm, para águas pluviais</v>
      </c>
      <c r="D22" s="344" t="str">
        <f>MEMORIAL!C22</f>
        <v>m</v>
      </c>
      <c r="E22" s="86">
        <f>MEMORIAL!D22</f>
        <v>69</v>
      </c>
      <c r="F22" s="345">
        <f t="shared" si="0"/>
        <v>122.31</v>
      </c>
      <c r="G22" s="345">
        <f t="shared" si="1"/>
        <v>8439.39</v>
      </c>
      <c r="H22" s="87">
        <f t="shared" si="4"/>
        <v>0.02159616455102359</v>
      </c>
      <c r="I22" s="309"/>
      <c r="J22" s="176">
        <v>98.85</v>
      </c>
      <c r="K22" s="204">
        <f t="shared" si="2"/>
        <v>98.85</v>
      </c>
      <c r="L22" s="89"/>
      <c r="M22" s="147"/>
      <c r="N22" s="151"/>
      <c r="O22" s="152"/>
      <c r="P22" s="148"/>
    </row>
    <row r="23" spans="1:16" s="3" customFormat="1" ht="15">
      <c r="A23" s="693" t="s">
        <v>404</v>
      </c>
      <c r="B23" s="342" t="s">
        <v>491</v>
      </c>
      <c r="C23" s="353" t="str">
        <f>MEMORIAL!B23</f>
        <v>Fornecimento e colocação de manta geotextil 200 g/m2, largura = 30 cm</v>
      </c>
      <c r="D23" s="344" t="str">
        <f>MEMORIAL!C23</f>
        <v>m2</v>
      </c>
      <c r="E23" s="86">
        <f>MEMORIAL!D23</f>
        <v>317</v>
      </c>
      <c r="F23" s="345">
        <f t="shared" si="0"/>
        <v>7.14</v>
      </c>
      <c r="G23" s="345">
        <f t="shared" si="1"/>
        <v>2263.38</v>
      </c>
      <c r="H23" s="87">
        <f t="shared" si="4"/>
        <v>0.0057919265398916</v>
      </c>
      <c r="I23" s="309"/>
      <c r="J23" s="176">
        <v>5.77</v>
      </c>
      <c r="K23" s="204">
        <f t="shared" si="2"/>
        <v>5.77</v>
      </c>
      <c r="L23" s="89"/>
      <c r="M23" s="147"/>
      <c r="N23" s="153"/>
      <c r="O23" s="152"/>
      <c r="P23" s="148"/>
    </row>
    <row r="24" spans="1:16" s="3" customFormat="1" ht="15">
      <c r="A24" s="693" t="s">
        <v>407</v>
      </c>
      <c r="B24" s="342">
        <v>72920</v>
      </c>
      <c r="C24" s="353" t="str">
        <f>MEMORIAL!B26</f>
        <v>Reaterro de vala com material granular reaproveitado adensado e vibrado</v>
      </c>
      <c r="D24" s="344" t="str">
        <f>MEMORIAL!C26</f>
        <v>m3</v>
      </c>
      <c r="E24" s="86">
        <f>MEMORIAL!D26</f>
        <v>463</v>
      </c>
      <c r="F24" s="345">
        <f t="shared" si="0"/>
        <v>15.86</v>
      </c>
      <c r="G24" s="345">
        <f t="shared" si="1"/>
        <v>7343.18</v>
      </c>
      <c r="H24" s="87">
        <f t="shared" si="4"/>
        <v>0.018790993615389905</v>
      </c>
      <c r="I24" s="309"/>
      <c r="J24" s="176">
        <v>12.82</v>
      </c>
      <c r="K24" s="204">
        <f t="shared" si="2"/>
        <v>12.82</v>
      </c>
      <c r="L24" s="89"/>
      <c r="M24" s="147"/>
      <c r="N24" s="153"/>
      <c r="O24" s="152"/>
      <c r="P24" s="148"/>
    </row>
    <row r="25" spans="1:16" s="3" customFormat="1" ht="15">
      <c r="A25" s="693" t="s">
        <v>418</v>
      </c>
      <c r="B25" s="342">
        <v>72208</v>
      </c>
      <c r="C25" s="353" t="str">
        <f>MEMORIAL!B27</f>
        <v>Carga mecanizada e remoção de excedentes com transporte até 1 km</v>
      </c>
      <c r="D25" s="344" t="str">
        <f>MEMORIAL!C27</f>
        <v>m3</v>
      </c>
      <c r="E25" s="86">
        <f>MEMORIAL!D27</f>
        <v>125</v>
      </c>
      <c r="F25" s="345">
        <f t="shared" si="0"/>
        <v>7.31</v>
      </c>
      <c r="G25" s="345">
        <f t="shared" si="1"/>
        <v>913.75</v>
      </c>
      <c r="H25" s="87">
        <f t="shared" si="4"/>
        <v>0.00233826086464754</v>
      </c>
      <c r="I25" s="309"/>
      <c r="J25" s="176">
        <v>5.91</v>
      </c>
      <c r="K25" s="204">
        <f t="shared" si="2"/>
        <v>5.91</v>
      </c>
      <c r="L25" s="89"/>
      <c r="M25" s="147"/>
      <c r="N25" s="153"/>
      <c r="O25" s="152"/>
      <c r="P25" s="148"/>
    </row>
    <row r="26" spans="1:16" s="3" customFormat="1" ht="15">
      <c r="A26" s="693" t="s">
        <v>419</v>
      </c>
      <c r="B26" s="342" t="s">
        <v>149</v>
      </c>
      <c r="C26" s="353" t="str">
        <f>MEMORIAL!B28</f>
        <v>Poço de visita  Ø 40/60 cm - simples</v>
      </c>
      <c r="D26" s="344" t="str">
        <f>MEMORIAL!C28</f>
        <v>und</v>
      </c>
      <c r="E26" s="86">
        <f>MEMORIAL!D28</f>
        <v>5</v>
      </c>
      <c r="F26" s="345">
        <f t="shared" si="0"/>
        <v>1834.27</v>
      </c>
      <c r="G26" s="345">
        <f t="shared" si="1"/>
        <v>9171.35</v>
      </c>
      <c r="H26" s="87">
        <f t="shared" si="4"/>
        <v>0.023469229856071375</v>
      </c>
      <c r="I26" s="309"/>
      <c r="J26" s="176">
        <f>'PV Ø40-60'!G42</f>
        <v>1482.4795083088236</v>
      </c>
      <c r="K26" s="204">
        <f t="shared" si="2"/>
        <v>1482.4795083088236</v>
      </c>
      <c r="L26" s="89"/>
      <c r="M26" s="147">
        <f>E21*F21</f>
        <v>2483.31</v>
      </c>
      <c r="N26" s="153"/>
      <c r="O26" s="152"/>
      <c r="P26" s="148"/>
    </row>
    <row r="27" spans="1:16" s="3" customFormat="1" ht="15">
      <c r="A27" s="693" t="s">
        <v>420</v>
      </c>
      <c r="B27" s="342" t="s">
        <v>149</v>
      </c>
      <c r="C27" s="353" t="str">
        <f>MEMORIAL!B29</f>
        <v>Caixa de ligação Ø 40/60 cm - simples </v>
      </c>
      <c r="D27" s="344" t="str">
        <f>MEMORIAL!C29</f>
        <v>und</v>
      </c>
      <c r="E27" s="86">
        <f>MEMORIAL!D29</f>
        <v>7</v>
      </c>
      <c r="F27" s="345">
        <f>ROUND(K27*$K$9,2)</f>
        <v>892.68</v>
      </c>
      <c r="G27" s="345">
        <f>ROUND(E27*F27,2)</f>
        <v>6248.76</v>
      </c>
      <c r="H27" s="87">
        <f t="shared" si="4"/>
        <v>0.01599040324002732</v>
      </c>
      <c r="I27" s="309"/>
      <c r="J27" s="176">
        <f>'CL Ø40-60'!G42</f>
        <v>721.47398</v>
      </c>
      <c r="K27" s="204">
        <f t="shared" si="2"/>
        <v>721.47398</v>
      </c>
      <c r="L27" s="89"/>
      <c r="M27" s="147"/>
      <c r="N27" s="153"/>
      <c r="O27" s="152"/>
      <c r="P27" s="148"/>
    </row>
    <row r="28" spans="1:16" s="3" customFormat="1" ht="15">
      <c r="A28" s="693" t="s">
        <v>421</v>
      </c>
      <c r="B28" s="342" t="s">
        <v>149</v>
      </c>
      <c r="C28" s="353" t="str">
        <f>MEMORIAL!B30</f>
        <v>Poço de visita  Ø 100 cm - simples</v>
      </c>
      <c r="D28" s="344" t="str">
        <f>MEMORIAL!C30</f>
        <v>und</v>
      </c>
      <c r="E28" s="86">
        <f>MEMORIAL!D30</f>
        <v>1</v>
      </c>
      <c r="F28" s="345">
        <f>ROUND(K28*$K$9,2)</f>
        <v>2726.57</v>
      </c>
      <c r="G28" s="345">
        <f>ROUND(E28*F28,2)</f>
        <v>2726.57</v>
      </c>
      <c r="H28" s="87">
        <f>G28/$G$43</f>
        <v>0.006977216881775151</v>
      </c>
      <c r="I28" s="309"/>
      <c r="J28" s="176">
        <f>'PV Ø100'!F47</f>
        <v>2203.6487233088237</v>
      </c>
      <c r="K28" s="204">
        <f t="shared" si="2"/>
        <v>2203.6487233088237</v>
      </c>
      <c r="L28" s="89"/>
      <c r="M28" s="147"/>
      <c r="N28" s="153"/>
      <c r="O28" s="152"/>
      <c r="P28" s="148"/>
    </row>
    <row r="29" spans="1:16" s="3" customFormat="1" ht="15">
      <c r="A29" s="693" t="s">
        <v>422</v>
      </c>
      <c r="B29" s="342" t="s">
        <v>274</v>
      </c>
      <c r="C29" s="353" t="str">
        <f>MEMORIAL!B31</f>
        <v>Boca de bueiro Ø 60 cm</v>
      </c>
      <c r="D29" s="344" t="str">
        <f>MEMORIAL!C31</f>
        <v>und</v>
      </c>
      <c r="E29" s="86">
        <f>MEMORIAL!D31</f>
        <v>1</v>
      </c>
      <c r="F29" s="345">
        <f t="shared" si="0"/>
        <v>620.84</v>
      </c>
      <c r="G29" s="345">
        <f t="shared" si="1"/>
        <v>620.84</v>
      </c>
      <c r="H29" s="87">
        <f t="shared" si="4"/>
        <v>0.0015887123121288962</v>
      </c>
      <c r="I29" s="309"/>
      <c r="J29" s="176">
        <v>501.77</v>
      </c>
      <c r="K29" s="204">
        <f t="shared" si="2"/>
        <v>501.77</v>
      </c>
      <c r="L29" s="89"/>
      <c r="M29" s="147"/>
      <c r="N29" s="153"/>
      <c r="O29" s="152"/>
      <c r="P29" s="148"/>
    </row>
    <row r="30" spans="1:16" s="3" customFormat="1" ht="15">
      <c r="A30" s="693" t="s">
        <v>567</v>
      </c>
      <c r="B30" s="342">
        <v>83659</v>
      </c>
      <c r="C30" s="353" t="str">
        <f>MEMORIAL!B32</f>
        <v>Boca de lobo</v>
      </c>
      <c r="D30" s="344" t="str">
        <f>MEMORIAL!C32</f>
        <v>und</v>
      </c>
      <c r="E30" s="86">
        <f>MEMORIAL!D32</f>
        <v>28</v>
      </c>
      <c r="F30" s="345">
        <f t="shared" si="0"/>
        <v>707.91</v>
      </c>
      <c r="G30" s="345">
        <f t="shared" si="1"/>
        <v>19821.48</v>
      </c>
      <c r="H30" s="87">
        <f t="shared" si="4"/>
        <v>0.05072261664940512</v>
      </c>
      <c r="I30" s="309"/>
      <c r="J30" s="176">
        <v>572.14</v>
      </c>
      <c r="K30" s="204">
        <f t="shared" si="2"/>
        <v>572.14</v>
      </c>
      <c r="L30" s="89"/>
      <c r="M30" s="147"/>
      <c r="N30" s="153"/>
      <c r="O30" s="152"/>
      <c r="P30" s="148"/>
    </row>
    <row r="31" spans="1:16" s="3" customFormat="1" ht="15.75" thickBot="1">
      <c r="A31" s="173"/>
      <c r="B31" s="343"/>
      <c r="C31" s="353"/>
      <c r="D31" s="344"/>
      <c r="E31" s="86"/>
      <c r="F31" s="345"/>
      <c r="G31" s="345"/>
      <c r="H31" s="87"/>
      <c r="I31" s="309"/>
      <c r="J31" s="176"/>
      <c r="K31" s="204"/>
      <c r="L31" s="89"/>
      <c r="M31" s="147"/>
      <c r="N31" s="153"/>
      <c r="O31" s="152"/>
      <c r="P31" s="148"/>
    </row>
    <row r="32" spans="1:16" s="84" customFormat="1" ht="15.75">
      <c r="A32" s="355" t="s">
        <v>51</v>
      </c>
      <c r="B32" s="503"/>
      <c r="C32" s="132" t="str">
        <f>MEMORIAL!B34</f>
        <v>PAVIMENTAÇÃO COM LAJOTAS SEXTAVADAS</v>
      </c>
      <c r="D32" s="357"/>
      <c r="E32" s="504"/>
      <c r="F32" s="505"/>
      <c r="G32" s="358">
        <f>SUM(G33:G37)</f>
        <v>283183.77</v>
      </c>
      <c r="H32" s="83">
        <f aca="true" t="shared" si="5" ref="H32:H37">G32/$G$43</f>
        <v>0.7246594001579756</v>
      </c>
      <c r="I32" s="214"/>
      <c r="J32" s="139"/>
      <c r="K32" s="204"/>
      <c r="M32" s="149"/>
      <c r="N32" s="151"/>
      <c r="O32" s="152"/>
      <c r="P32" s="150"/>
    </row>
    <row r="33" spans="1:16" s="3" customFormat="1" ht="15">
      <c r="A33" s="378" t="s">
        <v>52</v>
      </c>
      <c r="B33" s="342" t="s">
        <v>155</v>
      </c>
      <c r="C33" s="353" t="str">
        <f>MEMORIAL!B35</f>
        <v>Regularização e compactação de até 20 cm</v>
      </c>
      <c r="D33" s="344" t="str">
        <f>MEMORIAL!C35</f>
        <v>m2</v>
      </c>
      <c r="E33" s="86">
        <f>MEMORIAL!D35</f>
        <v>4028.8</v>
      </c>
      <c r="F33" s="345">
        <f aca="true" t="shared" si="6" ref="F33:F41">ROUND(K33*$K$9,2)</f>
        <v>1.71</v>
      </c>
      <c r="G33" s="345">
        <f aca="true" t="shared" si="7" ref="G33:G41">ROUND(E33*F33,2)</f>
        <v>6889.25</v>
      </c>
      <c r="H33" s="87">
        <f t="shared" si="5"/>
        <v>0.017629399356249593</v>
      </c>
      <c r="I33" s="214"/>
      <c r="J33" s="176">
        <v>1.38</v>
      </c>
      <c r="K33" s="204">
        <f t="shared" si="2"/>
        <v>1.38</v>
      </c>
      <c r="L33" s="89"/>
      <c r="M33" s="147"/>
      <c r="N33" s="154"/>
      <c r="O33" s="148"/>
      <c r="P33" s="148"/>
    </row>
    <row r="34" spans="1:16" s="3" customFormat="1" ht="15">
      <c r="A34" s="378" t="s">
        <v>53</v>
      </c>
      <c r="B34" s="342" t="s">
        <v>154</v>
      </c>
      <c r="C34" s="353" t="str">
        <f>MEMORIAL!B36</f>
        <v>Colocação de meio-fio externo (12x15x30x80) - incluindo rejunte e reaterro - fck=25Mpa</v>
      </c>
      <c r="D34" s="344" t="str">
        <f>MEMORIAL!C36</f>
        <v>m</v>
      </c>
      <c r="E34" s="86">
        <f>MEMORIAL!D36</f>
        <v>1009</v>
      </c>
      <c r="F34" s="345">
        <f t="shared" si="6"/>
        <v>36.5</v>
      </c>
      <c r="G34" s="345">
        <f t="shared" si="7"/>
        <v>36828.5</v>
      </c>
      <c r="H34" s="87">
        <f t="shared" si="5"/>
        <v>0.09424310834875178</v>
      </c>
      <c r="I34" s="214"/>
      <c r="J34" s="176">
        <v>29.5</v>
      </c>
      <c r="K34" s="204">
        <f t="shared" si="2"/>
        <v>29.5</v>
      </c>
      <c r="L34" s="89"/>
      <c r="M34" s="147"/>
      <c r="N34" s="154"/>
      <c r="O34" s="148"/>
      <c r="P34" s="148"/>
    </row>
    <row r="35" spans="1:16" s="3" customFormat="1" ht="15">
      <c r="A35" s="378" t="s">
        <v>54</v>
      </c>
      <c r="B35" s="342" t="s">
        <v>313</v>
      </c>
      <c r="C35" s="353" t="str">
        <f>MEMORIAL!B37</f>
        <v>Pavimentação com lajotas sextavadas - (30 cm x 30 cm x 8 cm) - fck=35 </v>
      </c>
      <c r="D35" s="344" t="str">
        <f>MEMORIAL!C37</f>
        <v>m2</v>
      </c>
      <c r="E35" s="86">
        <f>MEMORIAL!D37</f>
        <v>4028.8</v>
      </c>
      <c r="F35" s="345">
        <f t="shared" si="6"/>
        <v>56.5</v>
      </c>
      <c r="G35" s="345">
        <f t="shared" si="7"/>
        <v>227627.2</v>
      </c>
      <c r="H35" s="87">
        <f t="shared" si="5"/>
        <v>0.5824916809732406</v>
      </c>
      <c r="I35" s="214"/>
      <c r="J35" s="176">
        <v>45.66</v>
      </c>
      <c r="K35" s="204">
        <f t="shared" si="2"/>
        <v>45.66</v>
      </c>
      <c r="L35" s="89"/>
      <c r="M35" s="147"/>
      <c r="N35" s="154"/>
      <c r="O35" s="148"/>
      <c r="P35" s="148"/>
    </row>
    <row r="36" spans="1:16" s="88" customFormat="1" ht="15">
      <c r="A36" s="378" t="s">
        <v>55</v>
      </c>
      <c r="B36" s="342">
        <v>6081</v>
      </c>
      <c r="C36" s="353" t="str">
        <f>MEMORIAL!B38</f>
        <v>Material para aterro/reaterro (barro, argila ou saibro) - com transporte até 10 km  e = 15 cm</v>
      </c>
      <c r="D36" s="344" t="str">
        <f>MEMORIAL!C38</f>
        <v>m3</v>
      </c>
      <c r="E36" s="86">
        <f>MEMORIAL!D38</f>
        <v>253.1</v>
      </c>
      <c r="F36" s="345">
        <f t="shared" si="6"/>
        <v>22.78</v>
      </c>
      <c r="G36" s="345">
        <f t="shared" si="7"/>
        <v>5765.62</v>
      </c>
      <c r="H36" s="87">
        <f t="shared" si="5"/>
        <v>0.014754061402384843</v>
      </c>
      <c r="I36" s="309"/>
      <c r="J36" s="176">
        <v>18.41</v>
      </c>
      <c r="K36" s="204">
        <f t="shared" si="2"/>
        <v>18.41</v>
      </c>
      <c r="L36" s="89"/>
      <c r="M36" s="147"/>
      <c r="N36" s="153"/>
      <c r="O36" s="155"/>
      <c r="P36" s="155"/>
    </row>
    <row r="37" spans="1:16" s="88" customFormat="1" ht="15">
      <c r="A37" s="378" t="s">
        <v>467</v>
      </c>
      <c r="B37" s="342">
        <v>5622</v>
      </c>
      <c r="C37" s="353" t="str">
        <f>MEMORIAL!B39</f>
        <v>Regularização e compactação manual de terreno com soquete</v>
      </c>
      <c r="D37" s="344" t="str">
        <f>MEMORIAL!C39</f>
        <v>m2</v>
      </c>
      <c r="E37" s="86">
        <f>MEMORIAL!D39</f>
        <v>1687</v>
      </c>
      <c r="F37" s="345">
        <f t="shared" si="6"/>
        <v>3.6</v>
      </c>
      <c r="G37" s="345">
        <f t="shared" si="7"/>
        <v>6073.2</v>
      </c>
      <c r="H37" s="87">
        <f t="shared" si="5"/>
        <v>0.015541150077348773</v>
      </c>
      <c r="I37" s="309"/>
      <c r="J37" s="176">
        <v>2.91</v>
      </c>
      <c r="K37" s="204">
        <f t="shared" si="2"/>
        <v>2.91</v>
      </c>
      <c r="L37" s="89"/>
      <c r="M37" s="147"/>
      <c r="N37" s="153"/>
      <c r="O37" s="155"/>
      <c r="P37" s="155"/>
    </row>
    <row r="38" spans="1:16" s="88" customFormat="1" ht="15.75" thickBot="1">
      <c r="A38" s="401"/>
      <c r="B38" s="342"/>
      <c r="C38" s="377"/>
      <c r="D38" s="402"/>
      <c r="E38" s="403"/>
      <c r="F38" s="404"/>
      <c r="G38" s="404"/>
      <c r="H38" s="405"/>
      <c r="I38" s="386"/>
      <c r="J38" s="176"/>
      <c r="K38" s="327"/>
      <c r="L38" s="89"/>
      <c r="M38" s="147"/>
      <c r="N38" s="153"/>
      <c r="O38" s="155"/>
      <c r="P38" s="155"/>
    </row>
    <row r="39" spans="1:16" s="88" customFormat="1" ht="15.75">
      <c r="A39" s="355" t="s">
        <v>482</v>
      </c>
      <c r="B39" s="383"/>
      <c r="C39" s="132" t="str">
        <f>MEMORIAL!B41</f>
        <v>SINALIZAÇÃO</v>
      </c>
      <c r="D39" s="387"/>
      <c r="E39" s="384"/>
      <c r="F39" s="385"/>
      <c r="G39" s="358">
        <f>SUM(G40:G41)</f>
        <v>1125.98</v>
      </c>
      <c r="H39" s="83">
        <f>G39/$G$43</f>
        <v>0.002881351538578208</v>
      </c>
      <c r="I39" s="214"/>
      <c r="J39" s="176"/>
      <c r="K39" s="204"/>
      <c r="L39" s="89"/>
      <c r="M39" s="147"/>
      <c r="N39" s="153"/>
      <c r="O39" s="155"/>
      <c r="P39" s="155"/>
    </row>
    <row r="40" spans="1:16" s="88" customFormat="1" ht="15">
      <c r="A40" s="173" t="s">
        <v>483</v>
      </c>
      <c r="B40" s="342" t="s">
        <v>443</v>
      </c>
      <c r="C40" s="353" t="str">
        <f>MEMORIAL!B42</f>
        <v>Placa regulamentadora R-1 - (Parada obrigatória)</v>
      </c>
      <c r="D40" s="343" t="str">
        <f>MEMORIAL!C42</f>
        <v>und</v>
      </c>
      <c r="E40" s="86">
        <f>MEMORIAL!D42</f>
        <v>4</v>
      </c>
      <c r="F40" s="345">
        <f t="shared" si="6"/>
        <v>158.5</v>
      </c>
      <c r="G40" s="345">
        <f t="shared" si="7"/>
        <v>634</v>
      </c>
      <c r="H40" s="87">
        <f>G40/$G$43</f>
        <v>0.0016223883865242577</v>
      </c>
      <c r="I40" s="214"/>
      <c r="J40" s="176">
        <v>128.1</v>
      </c>
      <c r="K40" s="204">
        <f t="shared" si="2"/>
        <v>128.1</v>
      </c>
      <c r="L40" s="89"/>
      <c r="M40" s="147"/>
      <c r="N40" s="155"/>
      <c r="O40" s="155"/>
      <c r="P40" s="155"/>
    </row>
    <row r="41" spans="1:16" s="88" customFormat="1" ht="15.75" thickBot="1">
      <c r="A41" s="378" t="s">
        <v>484</v>
      </c>
      <c r="B41" s="342" t="s">
        <v>150</v>
      </c>
      <c r="C41" s="353" t="str">
        <f>MEMORIAL!B43</f>
        <v>Placa de Identificação de rua</v>
      </c>
      <c r="D41" s="343" t="str">
        <f>MEMORIAL!C43</f>
        <v>und</v>
      </c>
      <c r="E41" s="86">
        <f>MEMORIAL!D43</f>
        <v>2</v>
      </c>
      <c r="F41" s="345">
        <f t="shared" si="6"/>
        <v>245.99</v>
      </c>
      <c r="G41" s="345">
        <f t="shared" si="7"/>
        <v>491.98</v>
      </c>
      <c r="H41" s="87">
        <f>G41/$G$43</f>
        <v>0.00125896315205395</v>
      </c>
      <c r="I41" s="215"/>
      <c r="J41" s="176">
        <v>198.81</v>
      </c>
      <c r="K41" s="204">
        <f t="shared" si="2"/>
        <v>198.81</v>
      </c>
      <c r="L41" s="89"/>
      <c r="M41" s="147"/>
      <c r="N41" s="155"/>
      <c r="O41" s="155"/>
      <c r="P41" s="155"/>
    </row>
    <row r="42" spans="1:16" s="88" customFormat="1" ht="15.75" thickBot="1">
      <c r="A42" s="379"/>
      <c r="B42" s="347"/>
      <c r="C42" s="380"/>
      <c r="D42" s="359"/>
      <c r="E42" s="102"/>
      <c r="F42" s="348"/>
      <c r="G42" s="348"/>
      <c r="H42" s="103"/>
      <c r="I42" s="516"/>
      <c r="J42" s="517"/>
      <c r="K42" s="517"/>
      <c r="L42" s="89"/>
      <c r="M42" s="147"/>
      <c r="N42" s="155"/>
      <c r="O42" s="155"/>
      <c r="P42" s="155"/>
    </row>
    <row r="43" spans="1:16" s="74" customFormat="1" ht="15.75" thickBot="1">
      <c r="A43" s="130" t="s">
        <v>197</v>
      </c>
      <c r="B43" s="104"/>
      <c r="C43" s="105"/>
      <c r="D43" s="106" t="s">
        <v>3</v>
      </c>
      <c r="E43" s="107">
        <f>E33</f>
        <v>4028.8</v>
      </c>
      <c r="F43" s="146">
        <f>G43/E43</f>
        <v>96.99709342732328</v>
      </c>
      <c r="G43" s="136">
        <f>G10+G13+G32+G39</f>
        <v>390781.89</v>
      </c>
      <c r="H43" s="108">
        <f>H10+H13+H32+H39</f>
        <v>1</v>
      </c>
      <c r="I43" s="73"/>
      <c r="K43" s="85"/>
      <c r="L43" s="90"/>
      <c r="M43" s="156"/>
      <c r="N43" s="156"/>
      <c r="O43" s="156"/>
      <c r="P43" s="156"/>
    </row>
    <row r="44" spans="1:11" ht="12.75" customHeight="1" thickBot="1">
      <c r="A44" s="1049"/>
      <c r="B44" s="1049"/>
      <c r="C44" s="1049"/>
      <c r="D44" s="1049"/>
      <c r="E44" s="1049"/>
      <c r="F44" s="1049"/>
      <c r="G44" s="1049"/>
      <c r="H44" s="1049"/>
      <c r="K44" s="91"/>
    </row>
    <row r="45" spans="1:11" ht="14.25" customHeight="1">
      <c r="A45" s="1050" t="str">
        <f>'dados de entrada'!B15</f>
        <v>PREFEITURA MUNICIPAL DE BOMBINHAS</v>
      </c>
      <c r="B45" s="1051"/>
      <c r="C45" s="1052"/>
      <c r="D45" s="1053" t="s">
        <v>198</v>
      </c>
      <c r="E45" s="1053"/>
      <c r="F45" s="1053"/>
      <c r="G45" s="1053"/>
      <c r="H45" s="1054"/>
      <c r="K45" s="74"/>
    </row>
    <row r="46" spans="1:12" ht="14.25" customHeight="1">
      <c r="A46" s="92"/>
      <c r="B46" s="69"/>
      <c r="C46" s="213"/>
      <c r="D46" s="1055"/>
      <c r="E46" s="1055"/>
      <c r="F46" s="1055"/>
      <c r="G46" s="1055"/>
      <c r="H46" s="1056"/>
      <c r="K46" s="156"/>
      <c r="L46" s="209"/>
    </row>
    <row r="47" spans="1:12" ht="14.25" customHeight="1">
      <c r="A47" s="92"/>
      <c r="B47" s="69"/>
      <c r="C47" s="213"/>
      <c r="D47" s="1057" t="s">
        <v>211</v>
      </c>
      <c r="E47" s="1057"/>
      <c r="F47" s="1057"/>
      <c r="G47" s="1057"/>
      <c r="H47" s="1058"/>
      <c r="I47" s="218"/>
      <c r="J47" s="218"/>
      <c r="K47" s="218"/>
      <c r="L47" s="209"/>
    </row>
    <row r="48" spans="1:12" ht="14.25" customHeight="1">
      <c r="A48" s="92"/>
      <c r="B48" s="69"/>
      <c r="C48" s="213"/>
      <c r="D48" s="1080" t="s">
        <v>208</v>
      </c>
      <c r="E48" s="1080"/>
      <c r="F48" s="1080"/>
      <c r="G48" s="1080"/>
      <c r="H48" s="1081"/>
      <c r="I48" s="219"/>
      <c r="J48" s="219"/>
      <c r="K48" s="218"/>
      <c r="L48" s="209"/>
    </row>
    <row r="49" spans="1:13" ht="12.75">
      <c r="A49" s="92"/>
      <c r="B49" s="69"/>
      <c r="C49" s="213"/>
      <c r="D49" s="1080"/>
      <c r="E49" s="1080"/>
      <c r="F49" s="1080"/>
      <c r="G49" s="1080"/>
      <c r="H49" s="1081"/>
      <c r="I49" s="219"/>
      <c r="J49" s="219"/>
      <c r="K49" s="219"/>
      <c r="L49" s="219"/>
      <c r="M49" s="220"/>
    </row>
    <row r="50" spans="1:12" ht="14.25" customHeight="1">
      <c r="A50" s="92"/>
      <c r="B50" s="69"/>
      <c r="C50" s="213"/>
      <c r="D50" s="93"/>
      <c r="E50" s="93"/>
      <c r="F50" s="93"/>
      <c r="G50" s="93"/>
      <c r="H50" s="94"/>
      <c r="K50" s="156"/>
      <c r="L50" s="209"/>
    </row>
    <row r="51" spans="1:12" ht="14.25" customHeight="1">
      <c r="A51" s="92"/>
      <c r="B51" s="69"/>
      <c r="C51" s="213"/>
      <c r="D51" s="93"/>
      <c r="E51" s="93"/>
      <c r="F51" s="93"/>
      <c r="G51" s="93"/>
      <c r="H51" s="94"/>
      <c r="K51" s="74"/>
      <c r="L51" s="95"/>
    </row>
    <row r="52" spans="1:11" ht="14.25" customHeight="1">
      <c r="A52" s="1059" t="s">
        <v>199</v>
      </c>
      <c r="B52" s="1060"/>
      <c r="C52" s="1061"/>
      <c r="D52" s="1060" t="s">
        <v>200</v>
      </c>
      <c r="E52" s="1060"/>
      <c r="F52" s="1060"/>
      <c r="G52" s="1060"/>
      <c r="H52" s="1061"/>
      <c r="K52" s="74"/>
    </row>
    <row r="53" spans="1:12" ht="15.75" customHeight="1">
      <c r="A53" s="1040" t="str">
        <f>'dados de entrada'!B5</f>
        <v>Ana Paula da Silva</v>
      </c>
      <c r="B53" s="1041"/>
      <c r="C53" s="1042"/>
      <c r="D53" s="1041" t="str">
        <f>'dados de entrada'!C24</f>
        <v>Carlos Alberto Bley  </v>
      </c>
      <c r="E53" s="1041"/>
      <c r="F53" s="1041"/>
      <c r="G53" s="1041"/>
      <c r="H53" s="1042"/>
      <c r="K53" s="74"/>
      <c r="L53" s="70"/>
    </row>
    <row r="54" spans="1:11" ht="14.25" customHeight="1" thickBot="1">
      <c r="A54" s="1043" t="s">
        <v>468</v>
      </c>
      <c r="B54" s="1044"/>
      <c r="C54" s="1045"/>
      <c r="D54" s="1046" t="str">
        <f>'dados de entrada'!B17</f>
        <v>Engenheiro Civil - CREA SC 8.333-3</v>
      </c>
      <c r="E54" s="1047"/>
      <c r="F54" s="1047"/>
      <c r="G54" s="1047"/>
      <c r="H54" s="1048"/>
      <c r="J54" s="97"/>
      <c r="K54" s="74"/>
    </row>
    <row r="55" spans="10:11" ht="15.75">
      <c r="J55" s="97"/>
      <c r="K55" s="91"/>
    </row>
    <row r="56" spans="10:11" ht="15">
      <c r="J56" s="97"/>
      <c r="K56" s="74"/>
    </row>
    <row r="57" spans="2:11" ht="15">
      <c r="B57" s="98"/>
      <c r="H57" s="99"/>
      <c r="J57" s="97"/>
      <c r="K57" s="74"/>
    </row>
    <row r="58" spans="2:11" ht="15">
      <c r="B58" s="100"/>
      <c r="J58" s="97"/>
      <c r="K58" s="74"/>
    </row>
    <row r="59" spans="2:11" ht="15">
      <c r="B59" s="100"/>
      <c r="J59" s="97"/>
      <c r="K59" s="74"/>
    </row>
    <row r="60" spans="2:11" ht="15">
      <c r="B60" s="100"/>
      <c r="J60" s="97"/>
      <c r="K60" s="74"/>
    </row>
    <row r="61" spans="2:11" ht="15.75">
      <c r="B61" s="101"/>
      <c r="K61" s="91"/>
    </row>
    <row r="62" spans="2:11" ht="14.25">
      <c r="B62" s="100"/>
      <c r="K62" s="74"/>
    </row>
    <row r="63" ht="14.25">
      <c r="B63" s="101"/>
    </row>
  </sheetData>
  <sheetProtection/>
  <mergeCells count="26">
    <mergeCell ref="D49:H49"/>
    <mergeCell ref="D48:H48"/>
    <mergeCell ref="A4:F4"/>
    <mergeCell ref="G4:H4"/>
    <mergeCell ref="A8:B8"/>
    <mergeCell ref="D8:H8"/>
    <mergeCell ref="A1:H1"/>
    <mergeCell ref="A2:H2"/>
    <mergeCell ref="A3:F3"/>
    <mergeCell ref="G3:H3"/>
    <mergeCell ref="D52:H52"/>
    <mergeCell ref="A5:D5"/>
    <mergeCell ref="E5:H5"/>
    <mergeCell ref="A6:D6"/>
    <mergeCell ref="E6:H6"/>
    <mergeCell ref="A7:D7"/>
    <mergeCell ref="A53:C53"/>
    <mergeCell ref="D53:H53"/>
    <mergeCell ref="A54:C54"/>
    <mergeCell ref="D54:H54"/>
    <mergeCell ref="A44:H44"/>
    <mergeCell ref="A45:C45"/>
    <mergeCell ref="D45:H45"/>
    <mergeCell ref="D46:H46"/>
    <mergeCell ref="D47:H47"/>
    <mergeCell ref="A52:C52"/>
  </mergeCells>
  <printOptions horizontalCentered="1"/>
  <pageMargins left="0.3937007874015748" right="0.3937007874015748" top="0.7874015748031497" bottom="0.3937007874015748" header="0.15748031496062992" footer="0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zoomScale="85" zoomScaleNormal="85" zoomScalePageLayoutView="0" workbookViewId="0" topLeftCell="A1">
      <selection activeCell="H37" sqref="H37"/>
    </sheetView>
  </sheetViews>
  <sheetFormatPr defaultColWidth="9.140625" defaultRowHeight="12.75"/>
  <cols>
    <col min="1" max="1" width="6.8515625" style="0" customWidth="1"/>
    <col min="2" max="2" width="97.140625" style="0" bestFit="1" customWidth="1"/>
    <col min="3" max="3" width="15.28125" style="4" bestFit="1" customWidth="1"/>
    <col min="4" max="4" width="10.8515625" style="124" customWidth="1"/>
    <col min="5" max="5" width="15.7109375" style="4" customWidth="1"/>
    <col min="6" max="6" width="11.421875" style="4" customWidth="1"/>
    <col min="7" max="7" width="15.7109375" style="4" customWidth="1"/>
    <col min="8" max="8" width="11.421875" style="4" customWidth="1"/>
    <col min="9" max="9" width="15.57421875" style="4" customWidth="1"/>
    <col min="10" max="10" width="11.8515625" style="4" customWidth="1"/>
    <col min="11" max="11" width="11.00390625" style="0" customWidth="1"/>
    <col min="12" max="12" width="13.28125" style="0" bestFit="1" customWidth="1"/>
  </cols>
  <sheetData>
    <row r="1" spans="1:10" ht="15.75">
      <c r="A1" s="1104" t="s">
        <v>57</v>
      </c>
      <c r="B1" s="1104"/>
      <c r="C1" s="1104"/>
      <c r="D1" s="1104"/>
      <c r="E1" s="1104"/>
      <c r="F1" s="1104"/>
      <c r="G1" s="1104"/>
      <c r="H1" s="1104"/>
      <c r="I1" s="1104"/>
      <c r="J1" s="1104"/>
    </row>
    <row r="2" spans="1:10" ht="24" thickBot="1">
      <c r="A2" s="1105" t="str">
        <f>'dados de entrada'!B15</f>
        <v>PREFEITURA MUNICIPAL DE BOMBINHAS</v>
      </c>
      <c r="B2" s="1105"/>
      <c r="C2" s="1105"/>
      <c r="D2" s="1105"/>
      <c r="E2" s="1105"/>
      <c r="F2" s="1105"/>
      <c r="G2" s="1105"/>
      <c r="H2" s="1105"/>
      <c r="I2" s="1105"/>
      <c r="J2" s="1105"/>
    </row>
    <row r="3" spans="1:10" ht="21" customHeight="1">
      <c r="A3" s="125" t="str">
        <f>'dados de entrada'!B8</f>
        <v>PAVIMENTAÇÃO COM LAJOTAS SEXTAVADAS E DRENAGEM PLUVIAL </v>
      </c>
      <c r="B3" s="126"/>
      <c r="C3" s="126"/>
      <c r="D3" s="126"/>
      <c r="E3" s="126"/>
      <c r="F3" s="126"/>
      <c r="G3" s="126"/>
      <c r="H3" s="126"/>
      <c r="I3" s="127"/>
      <c r="J3" s="128"/>
    </row>
    <row r="4" spans="1:10" s="76" customFormat="1" ht="21" customHeight="1" thickBot="1">
      <c r="A4" s="1106" t="str">
        <f>'dados de entrada'!C19</f>
        <v>RUA MERGULHÃO CAÇADOR - BAIRRO BOMBAS</v>
      </c>
      <c r="B4" s="1107"/>
      <c r="C4" s="1107"/>
      <c r="D4" s="1107"/>
      <c r="E4" s="1107"/>
      <c r="F4" s="1107"/>
      <c r="G4" s="189"/>
      <c r="H4" s="189"/>
      <c r="I4" s="1108"/>
      <c r="J4" s="1109"/>
    </row>
    <row r="5" spans="1:10" ht="21.75" customHeight="1" thickBot="1">
      <c r="A5" s="1110">
        <f>'dados de entrada'!B3</f>
        <v>41730</v>
      </c>
      <c r="B5" s="1110"/>
      <c r="C5" s="1089" t="s">
        <v>402</v>
      </c>
      <c r="D5" s="1089"/>
      <c r="E5" s="1089"/>
      <c r="F5" s="1089"/>
      <c r="G5" s="1089"/>
      <c r="H5" s="1089"/>
      <c r="I5" s="1089" t="s">
        <v>398</v>
      </c>
      <c r="J5" s="1089"/>
    </row>
    <row r="6" spans="1:10" s="109" customFormat="1" ht="15.75" thickBot="1">
      <c r="A6" s="1097" t="s">
        <v>0</v>
      </c>
      <c r="B6" s="1097" t="s">
        <v>1</v>
      </c>
      <c r="C6" s="1133" t="s">
        <v>12</v>
      </c>
      <c r="D6" s="1134"/>
      <c r="E6" s="1134"/>
      <c r="F6" s="1134"/>
      <c r="G6" s="1134"/>
      <c r="H6" s="1135"/>
      <c r="I6" s="1100" t="s">
        <v>201</v>
      </c>
      <c r="J6" s="1101"/>
    </row>
    <row r="7" spans="1:10" s="109" customFormat="1" ht="15.75" thickBot="1">
      <c r="A7" s="1098"/>
      <c r="B7" s="1098"/>
      <c r="C7" s="1136" t="s">
        <v>202</v>
      </c>
      <c r="D7" s="1137"/>
      <c r="E7" s="1136" t="s">
        <v>203</v>
      </c>
      <c r="F7" s="1137"/>
      <c r="G7" s="1136" t="s">
        <v>394</v>
      </c>
      <c r="H7" s="1137"/>
      <c r="I7" s="1102"/>
      <c r="J7" s="1103"/>
    </row>
    <row r="8" spans="1:10" s="109" customFormat="1" ht="15.75" thickBot="1">
      <c r="A8" s="1098"/>
      <c r="B8" s="1099"/>
      <c r="C8" s="205" t="s">
        <v>6</v>
      </c>
      <c r="D8" s="315" t="s">
        <v>7</v>
      </c>
      <c r="E8" s="205" t="s">
        <v>6</v>
      </c>
      <c r="F8" s="205" t="s">
        <v>7</v>
      </c>
      <c r="G8" s="205" t="s">
        <v>6</v>
      </c>
      <c r="H8" s="205" t="s">
        <v>7</v>
      </c>
      <c r="I8" s="205" t="s">
        <v>6</v>
      </c>
      <c r="J8" s="205" t="s">
        <v>7</v>
      </c>
    </row>
    <row r="9" spans="1:12" s="84" customFormat="1" ht="15">
      <c r="A9" s="390" t="s">
        <v>17</v>
      </c>
      <c r="B9" s="391" t="str">
        <f>MEMORIAL!B10</f>
        <v>SERVIÇOS INICIAIS</v>
      </c>
      <c r="C9" s="392">
        <f>SUM(C10:C10)</f>
        <v>1359</v>
      </c>
      <c r="D9" s="393">
        <f>C9/I9</f>
        <v>1</v>
      </c>
      <c r="E9" s="394">
        <f>SUM(E10:E10)</f>
        <v>0</v>
      </c>
      <c r="F9" s="393">
        <f>E9/I9</f>
        <v>0</v>
      </c>
      <c r="G9" s="394">
        <f>SUM(G10:G10)</f>
        <v>0</v>
      </c>
      <c r="H9" s="393">
        <f>G9/I9:I9</f>
        <v>0</v>
      </c>
      <c r="I9" s="394">
        <f>SUM(I10:I10)</f>
        <v>1359</v>
      </c>
      <c r="J9" s="110">
        <f>I9/$I$42</f>
        <v>0.0034776432449313346</v>
      </c>
      <c r="K9" s="111"/>
      <c r="L9" s="113">
        <f>D9+F9+H9</f>
        <v>1</v>
      </c>
    </row>
    <row r="10" spans="1:12" s="84" customFormat="1" ht="15">
      <c r="A10" s="173" t="s">
        <v>8</v>
      </c>
      <c r="B10" s="353" t="str">
        <f>MEMORIAL!B11</f>
        <v>Placa de obra</v>
      </c>
      <c r="C10" s="388">
        <f>I10*D10</f>
        <v>1359</v>
      </c>
      <c r="D10" s="389">
        <v>1</v>
      </c>
      <c r="E10" s="527">
        <f>I10*F10</f>
        <v>0</v>
      </c>
      <c r="F10" s="389">
        <v>0</v>
      </c>
      <c r="G10" s="527">
        <f>I10*H10</f>
        <v>0</v>
      </c>
      <c r="H10" s="389">
        <v>0</v>
      </c>
      <c r="I10" s="527">
        <f>ORÇ!G11</f>
        <v>1359</v>
      </c>
      <c r="J10" s="112">
        <f>I10/$I$42</f>
        <v>0.0034776432449313346</v>
      </c>
      <c r="K10" s="111"/>
      <c r="L10" s="113">
        <f aca="true" t="shared" si="0" ref="L10:L40">D10+F10+H10</f>
        <v>1</v>
      </c>
    </row>
    <row r="11" spans="1:12" s="84" customFormat="1" ht="15.75" thickBot="1">
      <c r="A11" s="376"/>
      <c r="B11" s="382"/>
      <c r="C11" s="397"/>
      <c r="D11" s="398"/>
      <c r="E11" s="528"/>
      <c r="F11" s="398"/>
      <c r="G11" s="528"/>
      <c r="H11" s="398"/>
      <c r="I11" s="528"/>
      <c r="J11" s="399"/>
      <c r="K11" s="111"/>
      <c r="L11" s="113"/>
    </row>
    <row r="12" spans="1:12" s="84" customFormat="1" ht="15">
      <c r="A12" s="390" t="s">
        <v>160</v>
      </c>
      <c r="B12" s="391" t="str">
        <f>MEMORIAL!B13</f>
        <v>DRENAGEM PLUVIAL</v>
      </c>
      <c r="C12" s="392">
        <f>SUM(C13:C29)</f>
        <v>96993.706</v>
      </c>
      <c r="D12" s="393">
        <f>C12/I12</f>
        <v>0.922755290156873</v>
      </c>
      <c r="E12" s="392">
        <f>SUM(E13:E29)</f>
        <v>0</v>
      </c>
      <c r="F12" s="393">
        <f>E12/I12</f>
        <v>0</v>
      </c>
      <c r="G12" s="392">
        <f>SUM(G13:G29)</f>
        <v>8119.434</v>
      </c>
      <c r="H12" s="393">
        <f>G12/I12</f>
        <v>0.07724470984312713</v>
      </c>
      <c r="I12" s="392">
        <f>SUM(I13:I29)</f>
        <v>105113.14</v>
      </c>
      <c r="J12" s="110">
        <f aca="true" t="shared" si="1" ref="J12:J29">I12/$I$42</f>
        <v>0.26898160505851487</v>
      </c>
      <c r="K12" s="111"/>
      <c r="L12" s="113">
        <f t="shared" si="0"/>
        <v>1</v>
      </c>
    </row>
    <row r="13" spans="1:12" s="84" customFormat="1" ht="15">
      <c r="A13" s="173" t="s">
        <v>47</v>
      </c>
      <c r="B13" s="353" t="str">
        <f>ORÇ!C14</f>
        <v>Escavação mec. de valas em qualquer tipo de solo, 0,00 a 4,00 m</v>
      </c>
      <c r="C13" s="388">
        <f aca="true" t="shared" si="2" ref="C13:C36">I13*D13</f>
        <v>5580.12</v>
      </c>
      <c r="D13" s="389">
        <v>1</v>
      </c>
      <c r="E13" s="388">
        <f aca="true" t="shared" si="3" ref="E13:E36">I13*F13</f>
        <v>0</v>
      </c>
      <c r="F13" s="389">
        <v>0</v>
      </c>
      <c r="G13" s="388">
        <f>I13*H13</f>
        <v>0</v>
      </c>
      <c r="H13" s="389">
        <v>0</v>
      </c>
      <c r="I13" s="388">
        <f>ORÇ!G14</f>
        <v>5580.12</v>
      </c>
      <c r="J13" s="112">
        <f t="shared" si="1"/>
        <v>0.014279372055854481</v>
      </c>
      <c r="K13" s="111"/>
      <c r="L13" s="113">
        <f t="shared" si="0"/>
        <v>1</v>
      </c>
    </row>
    <row r="14" spans="1:12" s="84" customFormat="1" ht="15">
      <c r="A14" s="173" t="s">
        <v>48</v>
      </c>
      <c r="B14" s="353" t="str">
        <f>ORÇ!C15</f>
        <v>Escoramento -  Pontaleteamento</v>
      </c>
      <c r="C14" s="388">
        <f t="shared" si="2"/>
        <v>1291.2</v>
      </c>
      <c r="D14" s="389">
        <v>1</v>
      </c>
      <c r="E14" s="388">
        <f t="shared" si="3"/>
        <v>0</v>
      </c>
      <c r="F14" s="389">
        <v>0</v>
      </c>
      <c r="G14" s="388">
        <f>I14*H14</f>
        <v>0</v>
      </c>
      <c r="H14" s="389">
        <v>0</v>
      </c>
      <c r="I14" s="388">
        <f>ORÇ!G15</f>
        <v>1291.2</v>
      </c>
      <c r="J14" s="112">
        <f t="shared" si="1"/>
        <v>0.003304144928517542</v>
      </c>
      <c r="K14" s="111"/>
      <c r="L14" s="113">
        <f t="shared" si="0"/>
        <v>1</v>
      </c>
    </row>
    <row r="15" spans="1:12" s="84" customFormat="1" ht="15">
      <c r="A15" s="173" t="s">
        <v>49</v>
      </c>
      <c r="B15" s="353" t="str">
        <f>ORÇ!C16</f>
        <v>Lastro de brita</v>
      </c>
      <c r="C15" s="388">
        <f t="shared" si="2"/>
        <v>1852.81</v>
      </c>
      <c r="D15" s="389">
        <v>1</v>
      </c>
      <c r="E15" s="388">
        <f t="shared" si="3"/>
        <v>0</v>
      </c>
      <c r="F15" s="389">
        <v>0</v>
      </c>
      <c r="G15" s="388">
        <f>I15*H15</f>
        <v>0</v>
      </c>
      <c r="H15" s="389">
        <v>0</v>
      </c>
      <c r="I15" s="388">
        <f>ORÇ!G16</f>
        <v>1852.81</v>
      </c>
      <c r="J15" s="112">
        <f t="shared" si="1"/>
        <v>0.004741289316145126</v>
      </c>
      <c r="K15" s="111"/>
      <c r="L15" s="113">
        <f t="shared" si="0"/>
        <v>1</v>
      </c>
    </row>
    <row r="16" spans="1:12" s="84" customFormat="1" ht="15">
      <c r="A16" s="173" t="s">
        <v>50</v>
      </c>
      <c r="B16" s="353" t="str">
        <f>ORÇ!C17</f>
        <v>Assentamento de tubos de concreto diametro de 30 cm., armado ou simples</v>
      </c>
      <c r="C16" s="388">
        <f t="shared" si="2"/>
        <v>1506.84</v>
      </c>
      <c r="D16" s="389">
        <v>1</v>
      </c>
      <c r="E16" s="388">
        <f t="shared" si="3"/>
        <v>0</v>
      </c>
      <c r="F16" s="389">
        <v>0</v>
      </c>
      <c r="G16" s="388">
        <f aca="true" t="shared" si="4" ref="G16:G36">I16*H16</f>
        <v>0</v>
      </c>
      <c r="H16" s="389">
        <v>0</v>
      </c>
      <c r="I16" s="388">
        <f>ORÇ!G17</f>
        <v>1506.84</v>
      </c>
      <c r="J16" s="112">
        <f t="shared" si="1"/>
        <v>0.003855961697713269</v>
      </c>
      <c r="K16" s="111"/>
      <c r="L16" s="113">
        <f t="shared" si="0"/>
        <v>1</v>
      </c>
    </row>
    <row r="17" spans="1:12" s="84" customFormat="1" ht="15">
      <c r="A17" s="173" t="s">
        <v>147</v>
      </c>
      <c r="B17" s="353" t="str">
        <f>ORÇ!C18</f>
        <v>Tubo de concreto simples classe - PS2 - NBR-8890 de Ø 30 cm, para águas pluviais</v>
      </c>
      <c r="C17" s="388">
        <f t="shared" si="2"/>
        <v>2813</v>
      </c>
      <c r="D17" s="389">
        <v>1</v>
      </c>
      <c r="E17" s="388">
        <f t="shared" si="3"/>
        <v>0</v>
      </c>
      <c r="F17" s="389">
        <v>0</v>
      </c>
      <c r="G17" s="388">
        <f t="shared" si="4"/>
        <v>0</v>
      </c>
      <c r="H17" s="389">
        <v>0</v>
      </c>
      <c r="I17" s="388">
        <f>ORÇ!G18</f>
        <v>2813</v>
      </c>
      <c r="J17" s="112">
        <f t="shared" si="1"/>
        <v>0.007198388850619459</v>
      </c>
      <c r="K17" s="111"/>
      <c r="L17" s="113">
        <f t="shared" si="0"/>
        <v>1</v>
      </c>
    </row>
    <row r="18" spans="1:12" s="84" customFormat="1" ht="15">
      <c r="A18" s="173" t="s">
        <v>192</v>
      </c>
      <c r="B18" s="353" t="str">
        <f>ORÇ!C19</f>
        <v>Assentamento de tubos de concreto diametro de 40 cm., armado ou simples</v>
      </c>
      <c r="C18" s="388">
        <f t="shared" si="2"/>
        <v>6641.5</v>
      </c>
      <c r="D18" s="389">
        <v>1</v>
      </c>
      <c r="E18" s="388">
        <f t="shared" si="3"/>
        <v>0</v>
      </c>
      <c r="F18" s="389">
        <v>0</v>
      </c>
      <c r="G18" s="388">
        <f t="shared" si="4"/>
        <v>0</v>
      </c>
      <c r="H18" s="389">
        <v>0</v>
      </c>
      <c r="I18" s="388">
        <f>ORÇ!G19</f>
        <v>6641.5</v>
      </c>
      <c r="J18" s="112">
        <f t="shared" si="1"/>
        <v>0.016995413989118073</v>
      </c>
      <c r="K18" s="111"/>
      <c r="L18" s="113">
        <f t="shared" si="0"/>
        <v>1</v>
      </c>
    </row>
    <row r="19" spans="1:12" s="84" customFormat="1" ht="15">
      <c r="A19" s="173" t="s">
        <v>193</v>
      </c>
      <c r="B19" s="353" t="str">
        <f>ORÇ!C20</f>
        <v>Tubo de concreto armado classe - PA2 PB NBR-8890/2007 de Ø 40 cm, para águas pluviais</v>
      </c>
      <c r="C19" s="388">
        <f>I19*D19</f>
        <v>25395.66</v>
      </c>
      <c r="D19" s="389">
        <v>1</v>
      </c>
      <c r="E19" s="388">
        <f>I19*F19</f>
        <v>0</v>
      </c>
      <c r="F19" s="389">
        <v>0</v>
      </c>
      <c r="G19" s="388">
        <f>I19*H19</f>
        <v>0</v>
      </c>
      <c r="H19" s="389">
        <v>0</v>
      </c>
      <c r="I19" s="388">
        <f>ORÇ!G20</f>
        <v>25395.66</v>
      </c>
      <c r="J19" s="112">
        <f t="shared" si="1"/>
        <v>0.06498678841028176</v>
      </c>
      <c r="K19" s="111"/>
      <c r="L19" s="113">
        <f t="shared" si="0"/>
        <v>1</v>
      </c>
    </row>
    <row r="20" spans="1:12" s="84" customFormat="1" ht="15">
      <c r="A20" s="173" t="s">
        <v>400</v>
      </c>
      <c r="B20" s="353" t="str">
        <f>ORÇ!C21</f>
        <v>Assentamento de tubos de concreto diametro de 60 cm., armado ou simples</v>
      </c>
      <c r="C20" s="388">
        <f t="shared" si="2"/>
        <v>2483.31</v>
      </c>
      <c r="D20" s="389">
        <v>1</v>
      </c>
      <c r="E20" s="388">
        <f t="shared" si="3"/>
        <v>0</v>
      </c>
      <c r="F20" s="389">
        <v>0</v>
      </c>
      <c r="G20" s="388">
        <f t="shared" si="4"/>
        <v>0</v>
      </c>
      <c r="H20" s="389">
        <v>0</v>
      </c>
      <c r="I20" s="388">
        <f>ORÇ!G21</f>
        <v>2483.31</v>
      </c>
      <c r="J20" s="112">
        <f t="shared" si="1"/>
        <v>0.00635472129990466</v>
      </c>
      <c r="K20" s="111"/>
      <c r="L20" s="113">
        <f t="shared" si="0"/>
        <v>1</v>
      </c>
    </row>
    <row r="21" spans="1:12" s="84" customFormat="1" ht="15">
      <c r="A21" s="173" t="s">
        <v>403</v>
      </c>
      <c r="B21" s="353" t="str">
        <f>ORÇ!C22</f>
        <v>Tubo de concreto armado classe - PA2 PB NBR-8890/2007 de Ø 60 cm, para águas pluviais</v>
      </c>
      <c r="C21" s="388">
        <f>I21*D21</f>
        <v>8439.39</v>
      </c>
      <c r="D21" s="389">
        <v>1</v>
      </c>
      <c r="E21" s="388">
        <f>I21*F21</f>
        <v>0</v>
      </c>
      <c r="F21" s="389">
        <v>0</v>
      </c>
      <c r="G21" s="388">
        <f>I21*H21</f>
        <v>0</v>
      </c>
      <c r="H21" s="389">
        <v>0</v>
      </c>
      <c r="I21" s="388">
        <f>ORÇ!G22</f>
        <v>8439.39</v>
      </c>
      <c r="J21" s="112">
        <f t="shared" si="1"/>
        <v>0.02159616455102359</v>
      </c>
      <c r="K21" s="111"/>
      <c r="L21" s="113">
        <f t="shared" si="0"/>
        <v>1</v>
      </c>
    </row>
    <row r="22" spans="1:12" s="84" customFormat="1" ht="15">
      <c r="A22" s="173" t="s">
        <v>404</v>
      </c>
      <c r="B22" s="353" t="str">
        <f>ORÇ!C23</f>
        <v>Fornecimento e colocação de manta geotextil 200 g/m2, largura = 30 cm</v>
      </c>
      <c r="C22" s="388">
        <f t="shared" si="2"/>
        <v>2263.38</v>
      </c>
      <c r="D22" s="389">
        <v>1</v>
      </c>
      <c r="E22" s="388">
        <f t="shared" si="3"/>
        <v>0</v>
      </c>
      <c r="F22" s="389">
        <v>0</v>
      </c>
      <c r="G22" s="388">
        <f t="shared" si="4"/>
        <v>0</v>
      </c>
      <c r="H22" s="389">
        <v>0</v>
      </c>
      <c r="I22" s="388">
        <f>ORÇ!G23</f>
        <v>2263.38</v>
      </c>
      <c r="J22" s="112">
        <f t="shared" si="1"/>
        <v>0.0057919265398916</v>
      </c>
      <c r="K22" s="111"/>
      <c r="L22" s="113">
        <f t="shared" si="0"/>
        <v>1</v>
      </c>
    </row>
    <row r="23" spans="1:12" s="84" customFormat="1" ht="15">
      <c r="A23" s="173" t="s">
        <v>407</v>
      </c>
      <c r="B23" s="353" t="str">
        <f>ORÇ!C24</f>
        <v>Reaterro de vala com material granular reaproveitado adensado e vibrado</v>
      </c>
      <c r="C23" s="388">
        <f t="shared" si="2"/>
        <v>5874.544000000001</v>
      </c>
      <c r="D23" s="389">
        <v>0.8</v>
      </c>
      <c r="E23" s="388">
        <f t="shared" si="3"/>
        <v>0</v>
      </c>
      <c r="F23" s="389">
        <v>0</v>
      </c>
      <c r="G23" s="388">
        <f t="shared" si="4"/>
        <v>1468.6360000000002</v>
      </c>
      <c r="H23" s="389">
        <v>0.2</v>
      </c>
      <c r="I23" s="388">
        <f>ORÇ!G24</f>
        <v>7343.18</v>
      </c>
      <c r="J23" s="112">
        <f t="shared" si="1"/>
        <v>0.018790993615389905</v>
      </c>
      <c r="K23" s="111"/>
      <c r="L23" s="113">
        <f t="shared" si="0"/>
        <v>1</v>
      </c>
    </row>
    <row r="24" spans="1:12" s="84" customFormat="1" ht="15">
      <c r="A24" s="173" t="s">
        <v>418</v>
      </c>
      <c r="B24" s="353" t="str">
        <f>ORÇ!C25</f>
        <v>Carga mecanizada e remoção de excedentes com transporte até 1 km</v>
      </c>
      <c r="C24" s="388">
        <f t="shared" si="2"/>
        <v>731</v>
      </c>
      <c r="D24" s="389">
        <v>0.8</v>
      </c>
      <c r="E24" s="388">
        <f t="shared" si="3"/>
        <v>0</v>
      </c>
      <c r="F24" s="389">
        <v>0</v>
      </c>
      <c r="G24" s="388">
        <f t="shared" si="4"/>
        <v>182.75</v>
      </c>
      <c r="H24" s="389">
        <v>0.2</v>
      </c>
      <c r="I24" s="388">
        <f>ORÇ!G25</f>
        <v>913.75</v>
      </c>
      <c r="J24" s="112">
        <f t="shared" si="1"/>
        <v>0.00233826086464754</v>
      </c>
      <c r="K24" s="111"/>
      <c r="L24" s="113">
        <f t="shared" si="0"/>
        <v>1</v>
      </c>
    </row>
    <row r="25" spans="1:12" s="84" customFormat="1" ht="15">
      <c r="A25" s="173" t="s">
        <v>419</v>
      </c>
      <c r="B25" s="353" t="str">
        <f>ORÇ!C26</f>
        <v>Poço de visita  Ø 40/60 cm - simples</v>
      </c>
      <c r="C25" s="388">
        <f t="shared" si="2"/>
        <v>7337.080000000001</v>
      </c>
      <c r="D25" s="389">
        <v>0.8</v>
      </c>
      <c r="E25" s="388">
        <f t="shared" si="3"/>
        <v>0</v>
      </c>
      <c r="F25" s="389">
        <v>0</v>
      </c>
      <c r="G25" s="388">
        <f t="shared" si="4"/>
        <v>1834.2700000000002</v>
      </c>
      <c r="H25" s="389">
        <v>0.2</v>
      </c>
      <c r="I25" s="388">
        <f>ORÇ!G26</f>
        <v>9171.35</v>
      </c>
      <c r="J25" s="112">
        <f t="shared" si="1"/>
        <v>0.023469229856071375</v>
      </c>
      <c r="K25" s="111"/>
      <c r="L25" s="113">
        <f t="shared" si="0"/>
        <v>1</v>
      </c>
    </row>
    <row r="26" spans="1:12" s="84" customFormat="1" ht="15">
      <c r="A26" s="173" t="s">
        <v>420</v>
      </c>
      <c r="B26" s="353" t="str">
        <f>ORÇ!C27</f>
        <v>Caixa de ligação Ø 40/60 cm - simples </v>
      </c>
      <c r="C26" s="388">
        <f t="shared" si="2"/>
        <v>6248.76</v>
      </c>
      <c r="D26" s="389">
        <v>1</v>
      </c>
      <c r="E26" s="388">
        <f t="shared" si="3"/>
        <v>0</v>
      </c>
      <c r="F26" s="389">
        <v>0</v>
      </c>
      <c r="G26" s="388">
        <f t="shared" si="4"/>
        <v>0</v>
      </c>
      <c r="H26" s="389">
        <v>0</v>
      </c>
      <c r="I26" s="388">
        <f>ORÇ!G27</f>
        <v>6248.76</v>
      </c>
      <c r="J26" s="112">
        <f t="shared" si="1"/>
        <v>0.01599040324002732</v>
      </c>
      <c r="K26" s="111"/>
      <c r="L26" s="113">
        <f t="shared" si="0"/>
        <v>1</v>
      </c>
    </row>
    <row r="27" spans="1:12" s="84" customFormat="1" ht="15">
      <c r="A27" s="173" t="s">
        <v>421</v>
      </c>
      <c r="B27" s="353" t="str">
        <f>ORÇ!C28</f>
        <v>Poço de visita  Ø 100 cm - simples</v>
      </c>
      <c r="C27" s="388">
        <f>I27*D27</f>
        <v>2181.2560000000003</v>
      </c>
      <c r="D27" s="389">
        <v>0.8</v>
      </c>
      <c r="E27" s="388">
        <f>I27*F27</f>
        <v>0</v>
      </c>
      <c r="F27" s="389">
        <v>0</v>
      </c>
      <c r="G27" s="388">
        <f>I27*H27</f>
        <v>545.3140000000001</v>
      </c>
      <c r="H27" s="389">
        <v>0.2</v>
      </c>
      <c r="I27" s="388">
        <f>ORÇ!G28</f>
        <v>2726.57</v>
      </c>
      <c r="J27" s="112">
        <f>I27/$I$42</f>
        <v>0.006977216881775151</v>
      </c>
      <c r="K27" s="111"/>
      <c r="L27" s="113">
        <f t="shared" si="0"/>
        <v>1</v>
      </c>
    </row>
    <row r="28" spans="1:12" s="84" customFormat="1" ht="15">
      <c r="A28" s="173" t="s">
        <v>422</v>
      </c>
      <c r="B28" s="353" t="str">
        <f>ORÇ!C29</f>
        <v>Boca de bueiro Ø 60 cm</v>
      </c>
      <c r="C28" s="388">
        <f t="shared" si="2"/>
        <v>496.672</v>
      </c>
      <c r="D28" s="389">
        <v>0.8</v>
      </c>
      <c r="E28" s="388">
        <f t="shared" si="3"/>
        <v>0</v>
      </c>
      <c r="F28" s="389">
        <v>0</v>
      </c>
      <c r="G28" s="388">
        <f t="shared" si="4"/>
        <v>124.168</v>
      </c>
      <c r="H28" s="389">
        <v>0.2</v>
      </c>
      <c r="I28" s="388">
        <f>ORÇ!G29</f>
        <v>620.84</v>
      </c>
      <c r="J28" s="112">
        <f t="shared" si="1"/>
        <v>0.0015887123121288962</v>
      </c>
      <c r="K28" s="111"/>
      <c r="L28" s="113">
        <f t="shared" si="0"/>
        <v>1</v>
      </c>
    </row>
    <row r="29" spans="1:12" s="84" customFormat="1" ht="15">
      <c r="A29" s="173" t="s">
        <v>567</v>
      </c>
      <c r="B29" s="353" t="str">
        <f>ORÇ!C30</f>
        <v>Boca de lobo</v>
      </c>
      <c r="C29" s="388">
        <f t="shared" si="2"/>
        <v>15857.184000000001</v>
      </c>
      <c r="D29" s="389">
        <v>0.8</v>
      </c>
      <c r="E29" s="388">
        <f t="shared" si="3"/>
        <v>0</v>
      </c>
      <c r="F29" s="389">
        <v>0</v>
      </c>
      <c r="G29" s="388">
        <f t="shared" si="4"/>
        <v>3964.2960000000003</v>
      </c>
      <c r="H29" s="389">
        <v>0.2</v>
      </c>
      <c r="I29" s="388">
        <f>ORÇ!G30</f>
        <v>19821.48</v>
      </c>
      <c r="J29" s="112">
        <f t="shared" si="1"/>
        <v>0.05072261664940512</v>
      </c>
      <c r="K29" s="111"/>
      <c r="L29" s="113">
        <f t="shared" si="0"/>
        <v>1</v>
      </c>
    </row>
    <row r="30" spans="1:12" s="84" customFormat="1" ht="15.75" thickBot="1">
      <c r="A30" s="376"/>
      <c r="B30" s="382"/>
      <c r="C30" s="397"/>
      <c r="D30" s="398"/>
      <c r="E30" s="397"/>
      <c r="F30" s="398"/>
      <c r="G30" s="397"/>
      <c r="H30" s="398"/>
      <c r="I30" s="397"/>
      <c r="J30" s="399"/>
      <c r="K30" s="111"/>
      <c r="L30" s="113"/>
    </row>
    <row r="31" spans="1:12" s="84" customFormat="1" ht="15">
      <c r="A31" s="390" t="s">
        <v>51</v>
      </c>
      <c r="B31" s="391" t="str">
        <f>ORÇ!C32</f>
        <v>PAVIMENTAÇÃO COM LAJOTAS SEXTAVADAS</v>
      </c>
      <c r="C31" s="392">
        <f>SUM(C32:C36)</f>
        <v>29696.227000000003</v>
      </c>
      <c r="D31" s="393">
        <f>C31/I31</f>
        <v>0.10486556839044836</v>
      </c>
      <c r="E31" s="392">
        <f>SUM(E32:E36)</f>
        <v>142969.73500000002</v>
      </c>
      <c r="F31" s="393">
        <f>E31/I31</f>
        <v>0.5048655683904484</v>
      </c>
      <c r="G31" s="392">
        <f>SUM(G32:G36)</f>
        <v>110517.808</v>
      </c>
      <c r="H31" s="400">
        <f>G31/I31</f>
        <v>0.39026886321910326</v>
      </c>
      <c r="I31" s="392">
        <f>SUM(I32:I36)</f>
        <v>283183.77</v>
      </c>
      <c r="J31" s="110">
        <f aca="true" t="shared" si="5" ref="J31:J36">I31/$I$42</f>
        <v>0.7246594001579756</v>
      </c>
      <c r="K31" s="111"/>
      <c r="L31" s="113">
        <f t="shared" si="0"/>
        <v>1</v>
      </c>
    </row>
    <row r="32" spans="1:12" s="84" customFormat="1" ht="15">
      <c r="A32" s="173" t="s">
        <v>52</v>
      </c>
      <c r="B32" s="353" t="str">
        <f>ORÇ!C33</f>
        <v>Regularização e compactação de até 20 cm</v>
      </c>
      <c r="C32" s="388">
        <f>I32*D32</f>
        <v>2066.775</v>
      </c>
      <c r="D32" s="389">
        <v>0.3</v>
      </c>
      <c r="E32" s="388">
        <f t="shared" si="3"/>
        <v>4822.474999999999</v>
      </c>
      <c r="F32" s="389">
        <v>0.7</v>
      </c>
      <c r="G32" s="388">
        <f t="shared" si="4"/>
        <v>0</v>
      </c>
      <c r="H32" s="389">
        <v>0</v>
      </c>
      <c r="I32" s="388">
        <f>ORÇ!G33</f>
        <v>6889.25</v>
      </c>
      <c r="J32" s="112">
        <f t="shared" si="5"/>
        <v>0.017629399356249593</v>
      </c>
      <c r="K32" s="111"/>
      <c r="L32" s="113">
        <f t="shared" si="0"/>
        <v>1</v>
      </c>
    </row>
    <row r="33" spans="1:12" s="84" customFormat="1" ht="15">
      <c r="A33" s="173" t="s">
        <v>53</v>
      </c>
      <c r="B33" s="353" t="str">
        <f>ORÇ!C34</f>
        <v>Colocação de meio-fio externo (12x15x30x80) - incluindo rejunte e reaterro - fck=25Mpa</v>
      </c>
      <c r="C33" s="388">
        <f t="shared" si="2"/>
        <v>3682.8500000000004</v>
      </c>
      <c r="D33" s="389">
        <v>0.1</v>
      </c>
      <c r="E33" s="388">
        <f t="shared" si="3"/>
        <v>18414.25</v>
      </c>
      <c r="F33" s="389">
        <v>0.5</v>
      </c>
      <c r="G33" s="388">
        <f t="shared" si="4"/>
        <v>14731.400000000001</v>
      </c>
      <c r="H33" s="389">
        <v>0.4</v>
      </c>
      <c r="I33" s="388">
        <f>ORÇ!G34</f>
        <v>36828.5</v>
      </c>
      <c r="J33" s="112">
        <f t="shared" si="5"/>
        <v>0.09424310834875178</v>
      </c>
      <c r="K33" s="111"/>
      <c r="L33" s="113">
        <f t="shared" si="0"/>
        <v>1</v>
      </c>
    </row>
    <row r="34" spans="1:12" s="84" customFormat="1" ht="15">
      <c r="A34" s="173" t="s">
        <v>54</v>
      </c>
      <c r="B34" s="353" t="str">
        <f>ORÇ!C35</f>
        <v>Pavimentação com lajotas sextavadas - (30 cm x 30 cm x 8 cm) - fck=35 </v>
      </c>
      <c r="C34" s="388">
        <f t="shared" si="2"/>
        <v>22762.72</v>
      </c>
      <c r="D34" s="389">
        <v>0.1</v>
      </c>
      <c r="E34" s="388">
        <f t="shared" si="3"/>
        <v>113813.6</v>
      </c>
      <c r="F34" s="389">
        <v>0.5</v>
      </c>
      <c r="G34" s="388">
        <f t="shared" si="4"/>
        <v>91050.88</v>
      </c>
      <c r="H34" s="389">
        <v>0.4</v>
      </c>
      <c r="I34" s="388">
        <f>ORÇ!G35</f>
        <v>227627.2</v>
      </c>
      <c r="J34" s="112">
        <f t="shared" si="5"/>
        <v>0.5824916809732406</v>
      </c>
      <c r="K34" s="111"/>
      <c r="L34" s="113">
        <f t="shared" si="0"/>
        <v>1</v>
      </c>
    </row>
    <row r="35" spans="1:12" s="84" customFormat="1" ht="15">
      <c r="A35" s="173" t="s">
        <v>55</v>
      </c>
      <c r="B35" s="353" t="str">
        <f>ORÇ!C36</f>
        <v>Material para aterro/reaterro (barro, argila ou saibro) - com transporte até 10 km  e = 15 cm</v>
      </c>
      <c r="C35" s="388">
        <f t="shared" si="2"/>
        <v>576.562</v>
      </c>
      <c r="D35" s="389">
        <v>0.1</v>
      </c>
      <c r="E35" s="388">
        <f t="shared" si="3"/>
        <v>2882.81</v>
      </c>
      <c r="F35" s="389">
        <v>0.5</v>
      </c>
      <c r="G35" s="388">
        <f t="shared" si="4"/>
        <v>2306.248</v>
      </c>
      <c r="H35" s="389">
        <v>0.4</v>
      </c>
      <c r="I35" s="388">
        <f>ORÇ!G36</f>
        <v>5765.62</v>
      </c>
      <c r="J35" s="112">
        <f t="shared" si="5"/>
        <v>0.014754061402384843</v>
      </c>
      <c r="K35" s="111"/>
      <c r="L35" s="113">
        <f t="shared" si="0"/>
        <v>1</v>
      </c>
    </row>
    <row r="36" spans="1:12" s="84" customFormat="1" ht="15">
      <c r="A36" s="173" t="s">
        <v>467</v>
      </c>
      <c r="B36" s="353" t="str">
        <f>ORÇ!C37</f>
        <v>Regularização e compactação manual de terreno com soquete</v>
      </c>
      <c r="C36" s="388">
        <f t="shared" si="2"/>
        <v>607.32</v>
      </c>
      <c r="D36" s="389">
        <v>0.1</v>
      </c>
      <c r="E36" s="388">
        <f t="shared" si="3"/>
        <v>3036.6</v>
      </c>
      <c r="F36" s="389">
        <v>0.5</v>
      </c>
      <c r="G36" s="388">
        <f t="shared" si="4"/>
        <v>2429.28</v>
      </c>
      <c r="H36" s="389">
        <v>0.4</v>
      </c>
      <c r="I36" s="388">
        <f>ORÇ!G37</f>
        <v>6073.2</v>
      </c>
      <c r="J36" s="112">
        <f t="shared" si="5"/>
        <v>0.015541150077348773</v>
      </c>
      <c r="K36" s="111"/>
      <c r="L36" s="113">
        <f t="shared" si="0"/>
        <v>1</v>
      </c>
    </row>
    <row r="37" spans="1:12" s="84" customFormat="1" ht="15.75" thickBot="1">
      <c r="A37" s="376"/>
      <c r="B37" s="382"/>
      <c r="C37" s="397"/>
      <c r="D37" s="398"/>
      <c r="E37" s="397"/>
      <c r="F37" s="398"/>
      <c r="G37" s="397"/>
      <c r="H37" s="398"/>
      <c r="I37" s="397"/>
      <c r="J37" s="399"/>
      <c r="K37" s="111"/>
      <c r="L37" s="113"/>
    </row>
    <row r="38" spans="1:12" s="84" customFormat="1" ht="15">
      <c r="A38" s="390" t="s">
        <v>482</v>
      </c>
      <c r="B38" s="391" t="str">
        <f>ORÇ!C39</f>
        <v>SINALIZAÇÃO</v>
      </c>
      <c r="C38" s="392">
        <f>SUM(C39:C40)</f>
        <v>0</v>
      </c>
      <c r="D38" s="393">
        <f>C38/I38</f>
        <v>0</v>
      </c>
      <c r="E38" s="392">
        <f>SUM(E39:E40)</f>
        <v>0</v>
      </c>
      <c r="F38" s="393">
        <f>E38/I38</f>
        <v>0</v>
      </c>
      <c r="G38" s="392">
        <f>SUM(G39:G40)</f>
        <v>1125.98</v>
      </c>
      <c r="H38" s="400">
        <f>G38/I38</f>
        <v>1</v>
      </c>
      <c r="I38" s="392">
        <f>SUM(I39:I40)</f>
        <v>1125.98</v>
      </c>
      <c r="J38" s="110">
        <f>I38/$I$42</f>
        <v>0.002881351538578208</v>
      </c>
      <c r="K38" s="111"/>
      <c r="L38" s="113">
        <f t="shared" si="0"/>
        <v>1</v>
      </c>
    </row>
    <row r="39" spans="1:12" s="84" customFormat="1" ht="15">
      <c r="A39" s="173" t="s">
        <v>483</v>
      </c>
      <c r="B39" s="353" t="str">
        <f>ORÇ!C40</f>
        <v>Placa regulamentadora R-1 - (Parada obrigatória)</v>
      </c>
      <c r="C39" s="388">
        <f>I39*D39</f>
        <v>0</v>
      </c>
      <c r="D39" s="389">
        <v>0</v>
      </c>
      <c r="E39" s="388">
        <f>I39*F39</f>
        <v>0</v>
      </c>
      <c r="F39" s="389">
        <v>0</v>
      </c>
      <c r="G39" s="388">
        <f>I39*H39</f>
        <v>634</v>
      </c>
      <c r="H39" s="389">
        <v>1</v>
      </c>
      <c r="I39" s="388">
        <f>ORÇ!G40</f>
        <v>634</v>
      </c>
      <c r="J39" s="112">
        <f>I39/$I$42</f>
        <v>0.0016223883865242577</v>
      </c>
      <c r="K39" s="111"/>
      <c r="L39" s="113">
        <f t="shared" si="0"/>
        <v>1</v>
      </c>
    </row>
    <row r="40" spans="1:12" s="84" customFormat="1" ht="15">
      <c r="A40" s="173" t="s">
        <v>484</v>
      </c>
      <c r="B40" s="353" t="str">
        <f>ORÇ!C41</f>
        <v>Placa de Identificação de rua</v>
      </c>
      <c r="C40" s="388">
        <f>I40*D40</f>
        <v>0</v>
      </c>
      <c r="D40" s="389">
        <v>0</v>
      </c>
      <c r="E40" s="388">
        <f>I40*F40</f>
        <v>0</v>
      </c>
      <c r="F40" s="389">
        <v>0</v>
      </c>
      <c r="G40" s="388">
        <f>I40*H40</f>
        <v>491.98</v>
      </c>
      <c r="H40" s="389">
        <v>1</v>
      </c>
      <c r="I40" s="388">
        <f>ORÇ!G41</f>
        <v>491.98</v>
      </c>
      <c r="J40" s="112">
        <f>I40/$I$42</f>
        <v>0.00125896315205395</v>
      </c>
      <c r="K40" s="111"/>
      <c r="L40" s="113">
        <f t="shared" si="0"/>
        <v>1</v>
      </c>
    </row>
    <row r="41" spans="1:12" s="84" customFormat="1" ht="15.75" thickBot="1">
      <c r="A41" s="216"/>
      <c r="B41" s="380"/>
      <c r="C41" s="395"/>
      <c r="D41" s="396"/>
      <c r="E41" s="395"/>
      <c r="F41" s="396"/>
      <c r="G41" s="395"/>
      <c r="H41" s="396"/>
      <c r="I41" s="395"/>
      <c r="J41" s="134"/>
      <c r="K41" s="111"/>
      <c r="L41" s="113"/>
    </row>
    <row r="42" spans="1:11" s="68" customFormat="1" ht="15.75">
      <c r="A42" s="1111" t="s">
        <v>204</v>
      </c>
      <c r="B42" s="1112"/>
      <c r="C42" s="1113">
        <f>C9+C12+C31+C38</f>
        <v>128048.933</v>
      </c>
      <c r="D42" s="1114"/>
      <c r="E42" s="1113">
        <f>E9+E12+E31+E38</f>
        <v>142969.73500000002</v>
      </c>
      <c r="F42" s="1114"/>
      <c r="G42" s="1113">
        <f>G9+G12+G31+G38</f>
        <v>119763.222</v>
      </c>
      <c r="H42" s="1114"/>
      <c r="I42" s="1117">
        <f>I9+I12+I31+I38</f>
        <v>390781.89</v>
      </c>
      <c r="J42" s="1118"/>
      <c r="K42" s="111"/>
    </row>
    <row r="43" spans="1:11" s="68" customFormat="1" ht="15.75">
      <c r="A43" s="1131" t="s">
        <v>205</v>
      </c>
      <c r="B43" s="1132"/>
      <c r="C43" s="1125">
        <f>C42</f>
        <v>128048.933</v>
      </c>
      <c r="D43" s="1126"/>
      <c r="E43" s="1125">
        <f>C43+E42</f>
        <v>271018.668</v>
      </c>
      <c r="F43" s="1126"/>
      <c r="G43" s="1125">
        <f>E43+G42</f>
        <v>390781.89</v>
      </c>
      <c r="H43" s="1126"/>
      <c r="I43" s="1119">
        <f>C42+E42+G42</f>
        <v>390781.89</v>
      </c>
      <c r="J43" s="1120"/>
      <c r="K43" s="111"/>
    </row>
    <row r="44" spans="1:11" s="68" customFormat="1" ht="15.75">
      <c r="A44" s="1131" t="s">
        <v>206</v>
      </c>
      <c r="B44" s="1132"/>
      <c r="C44" s="1121">
        <f>C42/$I$42</f>
        <v>0.3276736621546101</v>
      </c>
      <c r="D44" s="1122"/>
      <c r="E44" s="1121">
        <f>E42/$I$42</f>
        <v>0.36585557995023776</v>
      </c>
      <c r="F44" s="1122"/>
      <c r="G44" s="1121">
        <f>G42/$I$42</f>
        <v>0.30647075789515216</v>
      </c>
      <c r="H44" s="1122"/>
      <c r="I44" s="1123">
        <f>I42/I43</f>
        <v>1</v>
      </c>
      <c r="J44" s="1124"/>
      <c r="K44" s="111"/>
    </row>
    <row r="45" spans="1:11" s="68" customFormat="1" ht="16.5" thickBot="1">
      <c r="A45" s="1127" t="s">
        <v>207</v>
      </c>
      <c r="B45" s="1128"/>
      <c r="C45" s="1129">
        <f>C44</f>
        <v>0.3276736621546101</v>
      </c>
      <c r="D45" s="1130"/>
      <c r="E45" s="1129">
        <f>C45+E44</f>
        <v>0.6935292421048478</v>
      </c>
      <c r="F45" s="1130"/>
      <c r="G45" s="1129">
        <f>E45+G44</f>
        <v>1</v>
      </c>
      <c r="H45" s="1130"/>
      <c r="I45" s="1115">
        <f>C44+E44+G44</f>
        <v>1</v>
      </c>
      <c r="J45" s="1116"/>
      <c r="K45" s="111"/>
    </row>
    <row r="46" spans="1:10" ht="12.75">
      <c r="A46" s="1050" t="str">
        <f>'dados de entrada'!B15</f>
        <v>PREFEITURA MUNICIPAL DE BOMBINHAS</v>
      </c>
      <c r="B46" s="1051"/>
      <c r="C46" s="1050" t="s">
        <v>198</v>
      </c>
      <c r="D46" s="1051"/>
      <c r="E46" s="1051"/>
      <c r="F46" s="1051"/>
      <c r="G46" s="1051"/>
      <c r="H46" s="1051"/>
      <c r="I46" s="1051"/>
      <c r="J46" s="1052"/>
    </row>
    <row r="47" spans="1:10" ht="15" customHeight="1">
      <c r="A47" s="114"/>
      <c r="B47" s="115"/>
      <c r="C47" s="1093" t="s">
        <v>211</v>
      </c>
      <c r="D47" s="1057"/>
      <c r="E47" s="1057"/>
      <c r="F47" s="1057"/>
      <c r="G47" s="1057"/>
      <c r="H47" s="1057"/>
      <c r="I47" s="1057"/>
      <c r="J47" s="1058"/>
    </row>
    <row r="48" spans="1:10" ht="12.75" customHeight="1">
      <c r="A48" s="116"/>
      <c r="B48" s="115"/>
      <c r="C48" s="1093"/>
      <c r="D48" s="1057"/>
      <c r="E48" s="1057"/>
      <c r="F48" s="1057"/>
      <c r="G48" s="1057"/>
      <c r="H48" s="1057"/>
      <c r="I48" s="1057"/>
      <c r="J48" s="1058"/>
    </row>
    <row r="49" spans="1:10" ht="12.75">
      <c r="A49" s="96"/>
      <c r="B49" s="93"/>
      <c r="C49" s="1094" t="s">
        <v>208</v>
      </c>
      <c r="D49" s="1080"/>
      <c r="E49" s="1080"/>
      <c r="F49" s="1080"/>
      <c r="G49" s="1080"/>
      <c r="H49" s="1080"/>
      <c r="I49" s="1080"/>
      <c r="J49" s="1081"/>
    </row>
    <row r="50" spans="1:10" ht="12.75">
      <c r="A50" s="96"/>
      <c r="B50" s="93"/>
      <c r="C50" s="117"/>
      <c r="D50" s="93"/>
      <c r="E50" s="118"/>
      <c r="F50" s="118"/>
      <c r="G50" s="118"/>
      <c r="H50" s="118"/>
      <c r="I50" s="118"/>
      <c r="J50" s="119"/>
    </row>
    <row r="51" spans="1:10" ht="12.75">
      <c r="A51" s="96"/>
      <c r="B51" s="93"/>
      <c r="C51" s="117"/>
      <c r="D51" s="93"/>
      <c r="E51" s="118"/>
      <c r="F51" s="118"/>
      <c r="G51" s="118"/>
      <c r="H51" s="118"/>
      <c r="I51" s="118"/>
      <c r="J51" s="119"/>
    </row>
    <row r="52" spans="1:10" ht="12.75">
      <c r="A52" s="96"/>
      <c r="B52" s="93"/>
      <c r="C52" s="117"/>
      <c r="D52" s="93"/>
      <c r="E52" s="118"/>
      <c r="F52" s="118"/>
      <c r="G52" s="118"/>
      <c r="H52" s="118"/>
      <c r="I52" s="118"/>
      <c r="J52" s="119"/>
    </row>
    <row r="53" spans="1:10" ht="15">
      <c r="A53" s="116"/>
      <c r="B53" s="115"/>
      <c r="C53" s="120"/>
      <c r="D53" s="115"/>
      <c r="E53" s="121"/>
      <c r="F53" s="115"/>
      <c r="G53" s="115"/>
      <c r="H53" s="115"/>
      <c r="I53" s="115"/>
      <c r="J53" s="122"/>
    </row>
    <row r="54" spans="1:10" ht="15">
      <c r="A54" s="1059" t="s">
        <v>209</v>
      </c>
      <c r="B54" s="1060"/>
      <c r="C54" s="1095" t="s">
        <v>210</v>
      </c>
      <c r="D54" s="1076"/>
      <c r="E54" s="1076"/>
      <c r="F54" s="1076"/>
      <c r="G54" s="1076"/>
      <c r="H54" s="1076"/>
      <c r="I54" s="1076"/>
      <c r="J54" s="1077"/>
    </row>
    <row r="55" spans="1:10" s="123" customFormat="1" ht="18">
      <c r="A55" s="1091" t="str">
        <f>'dados de entrada'!B5</f>
        <v>Ana Paula da Silva</v>
      </c>
      <c r="B55" s="1092"/>
      <c r="C55" s="1091" t="str">
        <f>'dados de entrada'!C24</f>
        <v>Carlos Alberto Bley  </v>
      </c>
      <c r="D55" s="1092"/>
      <c r="E55" s="1092"/>
      <c r="F55" s="1092"/>
      <c r="G55" s="1092"/>
      <c r="H55" s="1092"/>
      <c r="I55" s="1092"/>
      <c r="J55" s="1096"/>
    </row>
    <row r="56" spans="1:10" s="109" customFormat="1" ht="13.5" customHeight="1" thickBot="1">
      <c r="A56" s="1043" t="s">
        <v>469</v>
      </c>
      <c r="B56" s="1044"/>
      <c r="C56" s="1043" t="str">
        <f>'dados de entrada'!B17</f>
        <v>Engenheiro Civil - CREA SC 8.333-3</v>
      </c>
      <c r="D56" s="1044"/>
      <c r="E56" s="1044"/>
      <c r="F56" s="1044"/>
      <c r="G56" s="1044"/>
      <c r="H56" s="1044"/>
      <c r="I56" s="1044"/>
      <c r="J56" s="1090"/>
    </row>
  </sheetData>
  <sheetProtection/>
  <mergeCells count="44">
    <mergeCell ref="G45:H45"/>
    <mergeCell ref="C6:H6"/>
    <mergeCell ref="G7:H7"/>
    <mergeCell ref="G42:H42"/>
    <mergeCell ref="C7:D7"/>
    <mergeCell ref="E7:F7"/>
    <mergeCell ref="G44:H44"/>
    <mergeCell ref="A45:B45"/>
    <mergeCell ref="C45:D45"/>
    <mergeCell ref="E45:F45"/>
    <mergeCell ref="A43:B43"/>
    <mergeCell ref="C43:D43"/>
    <mergeCell ref="E43:F43"/>
    <mergeCell ref="A44:B44"/>
    <mergeCell ref="A42:B42"/>
    <mergeCell ref="C42:D42"/>
    <mergeCell ref="E42:F42"/>
    <mergeCell ref="I45:J45"/>
    <mergeCell ref="I42:J42"/>
    <mergeCell ref="I43:J43"/>
    <mergeCell ref="C44:D44"/>
    <mergeCell ref="E44:F44"/>
    <mergeCell ref="I44:J44"/>
    <mergeCell ref="G43:H43"/>
    <mergeCell ref="C55:J55"/>
    <mergeCell ref="A6:A8"/>
    <mergeCell ref="B6:B8"/>
    <mergeCell ref="I6:J7"/>
    <mergeCell ref="A1:J1"/>
    <mergeCell ref="A2:J2"/>
    <mergeCell ref="A4:F4"/>
    <mergeCell ref="I4:J4"/>
    <mergeCell ref="A5:B5"/>
    <mergeCell ref="C5:H5"/>
    <mergeCell ref="I5:J5"/>
    <mergeCell ref="C56:J56"/>
    <mergeCell ref="A46:B46"/>
    <mergeCell ref="A54:B54"/>
    <mergeCell ref="A55:B55"/>
    <mergeCell ref="A56:B56"/>
    <mergeCell ref="C46:J46"/>
    <mergeCell ref="C47:J48"/>
    <mergeCell ref="C49:J49"/>
    <mergeCell ref="C54:J5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P47"/>
  <sheetViews>
    <sheetView zoomScaleSheetLayoutView="115" zoomScalePageLayoutView="0" workbookViewId="0" topLeftCell="A1">
      <selection activeCell="A45" sqref="A45:G45"/>
    </sheetView>
  </sheetViews>
  <sheetFormatPr defaultColWidth="9.140625" defaultRowHeight="12.75"/>
  <cols>
    <col min="1" max="1" width="10.8515625" style="0" customWidth="1"/>
    <col min="2" max="2" width="4.00390625" style="0" customWidth="1"/>
    <col min="3" max="3" width="61.8515625" style="0" customWidth="1"/>
    <col min="4" max="4" width="14.28125" style="1" customWidth="1"/>
    <col min="5" max="5" width="5.8515625" style="48" bestFit="1" customWidth="1"/>
    <col min="6" max="6" width="14.57421875" style="0" customWidth="1"/>
    <col min="7" max="7" width="18.140625" style="212" customWidth="1"/>
    <col min="9" max="9" width="20.28125" style="0" customWidth="1"/>
    <col min="10" max="10" width="20.00390625" style="0" customWidth="1"/>
    <col min="11" max="11" width="9.7109375" style="0" bestFit="1" customWidth="1"/>
  </cols>
  <sheetData>
    <row r="1" spans="1:11" ht="12.75">
      <c r="A1" s="11"/>
      <c r="B1" s="419"/>
      <c r="C1" s="420" t="s">
        <v>18</v>
      </c>
      <c r="D1" s="420" t="s">
        <v>19</v>
      </c>
      <c r="E1" s="1138" t="str">
        <f>'dados de entrada'!B9</f>
        <v>SINAPI - 01/01/2014 - COM DESONERAÇÃO </v>
      </c>
      <c r="F1" s="1138"/>
      <c r="G1" s="1028"/>
      <c r="H1" s="54"/>
      <c r="I1" s="142" t="s">
        <v>230</v>
      </c>
      <c r="J1" s="54"/>
      <c r="K1" s="54"/>
    </row>
    <row r="2" spans="1:11" ht="12.75">
      <c r="A2" s="421" t="str">
        <f>'dados de entrada'!B15</f>
        <v>PREFEITURA MUNICIPAL DE BOMBINHAS</v>
      </c>
      <c r="B2" s="332"/>
      <c r="C2" s="8"/>
      <c r="D2" s="246"/>
      <c r="E2" s="253"/>
      <c r="F2" s="8" t="s">
        <v>20</v>
      </c>
      <c r="G2" s="422" t="s">
        <v>21</v>
      </c>
      <c r="H2" s="54"/>
      <c r="I2" s="54"/>
      <c r="J2" s="54"/>
      <c r="K2" s="54"/>
    </row>
    <row r="3" spans="1:11" ht="12.75">
      <c r="A3" s="423" t="str">
        <f>'dados de entrada'!C19</f>
        <v>RUA MERGULHÃO CAÇADOR - BAIRRO BOMBAS</v>
      </c>
      <c r="B3" s="424"/>
      <c r="C3" s="8"/>
      <c r="D3" s="246"/>
      <c r="E3" s="253"/>
      <c r="F3" s="8" t="s">
        <v>22</v>
      </c>
      <c r="G3" s="422" t="s">
        <v>23</v>
      </c>
      <c r="H3" s="54"/>
      <c r="I3" s="54"/>
      <c r="J3" s="54"/>
      <c r="K3" s="54"/>
    </row>
    <row r="4" spans="1:11" ht="12.75">
      <c r="A4" s="423" t="str">
        <f>'dados de entrada'!B8</f>
        <v>PAVIMENTAÇÃO COM LAJOTAS SEXTAVADAS E DRENAGEM PLUVIAL </v>
      </c>
      <c r="B4" s="424"/>
      <c r="C4" s="8"/>
      <c r="D4" s="246"/>
      <c r="E4" s="253"/>
      <c r="F4" s="8"/>
      <c r="G4" s="425"/>
      <c r="H4" s="54"/>
      <c r="I4" s="54"/>
      <c r="J4" s="54"/>
      <c r="K4" s="54"/>
    </row>
    <row r="5" spans="1:11" ht="12.75">
      <c r="A5" s="1139" t="s">
        <v>471</v>
      </c>
      <c r="B5" s="1140"/>
      <c r="C5" s="1140"/>
      <c r="D5" s="1140"/>
      <c r="E5" s="1140"/>
      <c r="F5" s="1140"/>
      <c r="G5" s="1141"/>
      <c r="H5" s="54"/>
      <c r="I5" s="54"/>
      <c r="J5" s="54"/>
      <c r="K5" s="54"/>
    </row>
    <row r="6" spans="1:11" ht="12.75">
      <c r="A6" s="1142"/>
      <c r="B6" s="1143"/>
      <c r="C6" s="1143"/>
      <c r="D6" s="1143"/>
      <c r="E6" s="1143"/>
      <c r="F6" s="1143"/>
      <c r="G6" s="1144"/>
      <c r="H6" s="54"/>
      <c r="I6" s="54"/>
      <c r="J6" s="54"/>
      <c r="K6" s="54"/>
    </row>
    <row r="7" spans="1:11" ht="12.75">
      <c r="A7" s="1142" t="s">
        <v>24</v>
      </c>
      <c r="B7" s="1143"/>
      <c r="C7" s="1143"/>
      <c r="D7" s="1143"/>
      <c r="E7" s="1143" t="s">
        <v>25</v>
      </c>
      <c r="F7" s="1143"/>
      <c r="G7" s="427" t="s">
        <v>11</v>
      </c>
      <c r="H7" s="54"/>
      <c r="I7" s="54"/>
      <c r="J7" s="54"/>
      <c r="K7" s="54"/>
    </row>
    <row r="8" spans="1:11" ht="13.5" thickBot="1">
      <c r="A8" s="1145" t="s">
        <v>477</v>
      </c>
      <c r="B8" s="1146"/>
      <c r="C8" s="1146"/>
      <c r="D8" s="1146"/>
      <c r="E8" s="1143" t="s">
        <v>4</v>
      </c>
      <c r="F8" s="1143"/>
      <c r="G8" s="428">
        <f>'dados de entrada'!B3</f>
        <v>41730</v>
      </c>
      <c r="H8" s="54"/>
      <c r="I8" s="54"/>
      <c r="J8" s="54"/>
      <c r="K8" s="54"/>
    </row>
    <row r="9" spans="1:11" ht="13.5" thickBot="1">
      <c r="A9" s="1147"/>
      <c r="B9" s="1148"/>
      <c r="C9" s="1148"/>
      <c r="D9" s="1148"/>
      <c r="E9" s="1148"/>
      <c r="F9" s="1148"/>
      <c r="G9" s="1149"/>
      <c r="H9" s="54"/>
      <c r="I9" s="1150" t="s">
        <v>222</v>
      </c>
      <c r="J9" s="1151"/>
      <c r="K9" s="60">
        <f>Escavação!W33</f>
        <v>1.3499999999999999</v>
      </c>
    </row>
    <row r="10" spans="1:11" ht="13.5" thickBot="1">
      <c r="A10" s="426" t="s">
        <v>0</v>
      </c>
      <c r="B10" s="1152" t="s">
        <v>26</v>
      </c>
      <c r="C10" s="1153"/>
      <c r="D10" s="61" t="s">
        <v>27</v>
      </c>
      <c r="E10" s="295" t="s">
        <v>28</v>
      </c>
      <c r="F10" s="10" t="s">
        <v>29</v>
      </c>
      <c r="G10" s="429" t="s">
        <v>30</v>
      </c>
      <c r="H10" s="54"/>
      <c r="I10" s="1150" t="s">
        <v>223</v>
      </c>
      <c r="J10" s="1151"/>
      <c r="K10" s="60">
        <f>ROUND((4*144*K9)-(2*3.1415*0.3*0.3*2*144),0)</f>
        <v>615</v>
      </c>
    </row>
    <row r="11" spans="1:11" ht="13.5" thickBot="1">
      <c r="A11" s="486">
        <v>73599</v>
      </c>
      <c r="B11" s="1154" t="s">
        <v>239</v>
      </c>
      <c r="C11" s="443" t="s">
        <v>475</v>
      </c>
      <c r="D11" s="440">
        <f>1.7*1.7*K9</f>
        <v>3.901499999999999</v>
      </c>
      <c r="E11" s="441" t="s">
        <v>9</v>
      </c>
      <c r="F11" s="442">
        <v>7.67</v>
      </c>
      <c r="G11" s="487">
        <f aca="true" t="shared" si="0" ref="G11:G23">D11*F11</f>
        <v>29.924504999999993</v>
      </c>
      <c r="H11" s="54"/>
      <c r="I11" s="1150" t="s">
        <v>140</v>
      </c>
      <c r="J11" s="1151"/>
      <c r="K11" s="60">
        <f>ROUND(K10*0.25,0)</f>
        <v>154</v>
      </c>
    </row>
    <row r="12" spans="1:16" ht="12.75" customHeight="1">
      <c r="A12" s="488" t="s">
        <v>191</v>
      </c>
      <c r="B12" s="1154"/>
      <c r="C12" s="443" t="s">
        <v>231</v>
      </c>
      <c r="D12" s="440">
        <f>1.7*1.7*0.1</f>
        <v>0.289</v>
      </c>
      <c r="E12" s="441" t="s">
        <v>9</v>
      </c>
      <c r="F12" s="442">
        <v>97.19</v>
      </c>
      <c r="G12" s="487">
        <f t="shared" si="0"/>
        <v>28.087909999999997</v>
      </c>
      <c r="H12" s="54"/>
      <c r="I12" s="54"/>
      <c r="J12" s="54"/>
      <c r="K12" s="54"/>
      <c r="O12" s="135"/>
      <c r="P12" s="135"/>
    </row>
    <row r="13" spans="1:16" ht="25.5">
      <c r="A13" s="486" t="s">
        <v>31</v>
      </c>
      <c r="B13" s="1154"/>
      <c r="C13" s="443" t="s">
        <v>232</v>
      </c>
      <c r="D13" s="440">
        <f>1.7*1.7*0.1</f>
        <v>0.289</v>
      </c>
      <c r="E13" s="441" t="s">
        <v>9</v>
      </c>
      <c r="F13" s="442">
        <v>353.6</v>
      </c>
      <c r="G13" s="487">
        <f t="shared" si="0"/>
        <v>102.1904</v>
      </c>
      <c r="H13" s="54"/>
      <c r="I13" s="54"/>
      <c r="J13" s="54"/>
      <c r="K13" s="54"/>
      <c r="O13" s="135"/>
      <c r="P13" s="135"/>
    </row>
    <row r="14" spans="1:16" ht="12.75" customHeight="1">
      <c r="A14" s="486">
        <v>34</v>
      </c>
      <c r="B14" s="1154"/>
      <c r="C14" s="443" t="s">
        <v>221</v>
      </c>
      <c r="D14" s="444">
        <v>37</v>
      </c>
      <c r="E14" s="441" t="s">
        <v>32</v>
      </c>
      <c r="F14" s="442">
        <v>3.66</v>
      </c>
      <c r="G14" s="487">
        <f t="shared" si="0"/>
        <v>135.42000000000002</v>
      </c>
      <c r="H14" s="54"/>
      <c r="I14" s="8"/>
      <c r="J14" s="8"/>
      <c r="K14" s="8"/>
      <c r="L14" s="209"/>
      <c r="O14" s="135"/>
      <c r="P14" s="135"/>
    </row>
    <row r="15" spans="1:12" ht="12.75" customHeight="1">
      <c r="A15" s="489">
        <v>7258</v>
      </c>
      <c r="B15" s="1154"/>
      <c r="C15" s="446" t="s">
        <v>224</v>
      </c>
      <c r="D15" s="447">
        <f>ROUNDUP(K10,0)</f>
        <v>615</v>
      </c>
      <c r="E15" s="448" t="s">
        <v>392</v>
      </c>
      <c r="F15" s="449">
        <v>0.45</v>
      </c>
      <c r="G15" s="487">
        <f t="shared" si="0"/>
        <v>276.75</v>
      </c>
      <c r="H15" s="54"/>
      <c r="I15" s="8"/>
      <c r="J15" s="8"/>
      <c r="K15" s="8"/>
      <c r="L15" s="209"/>
    </row>
    <row r="16" spans="1:12" ht="12.75" customHeight="1">
      <c r="A16" s="486">
        <v>371</v>
      </c>
      <c r="B16" s="1154"/>
      <c r="C16" s="443" t="s">
        <v>225</v>
      </c>
      <c r="D16" s="450">
        <f>ROUNDUP(K11,0)</f>
        <v>154</v>
      </c>
      <c r="E16" s="441" t="s">
        <v>32</v>
      </c>
      <c r="F16" s="442">
        <v>0.35</v>
      </c>
      <c r="G16" s="487">
        <f t="shared" si="0"/>
        <v>53.9</v>
      </c>
      <c r="H16" s="54"/>
      <c r="I16" s="1155"/>
      <c r="J16" s="1155"/>
      <c r="K16" s="141"/>
      <c r="L16" s="209"/>
    </row>
    <row r="17" spans="1:12" ht="17.25" customHeight="1">
      <c r="A17" s="486" t="s">
        <v>31</v>
      </c>
      <c r="B17" s="1154" t="s">
        <v>241</v>
      </c>
      <c r="C17" s="451" t="s">
        <v>478</v>
      </c>
      <c r="D17" s="440"/>
      <c r="E17" s="441" t="s">
        <v>9</v>
      </c>
      <c r="F17" s="442"/>
      <c r="G17" s="487">
        <f>D17*F17</f>
        <v>0</v>
      </c>
      <c r="H17" s="54"/>
      <c r="I17" s="1155"/>
      <c r="J17" s="1156"/>
      <c r="K17" s="141"/>
      <c r="L17" s="209"/>
    </row>
    <row r="18" spans="1:12" ht="12.75" customHeight="1">
      <c r="A18" s="486">
        <v>34</v>
      </c>
      <c r="B18" s="1154"/>
      <c r="C18" s="443" t="s">
        <v>221</v>
      </c>
      <c r="D18" s="444"/>
      <c r="E18" s="441" t="s">
        <v>32</v>
      </c>
      <c r="F18" s="442"/>
      <c r="G18" s="487">
        <f>D18*F18</f>
        <v>0</v>
      </c>
      <c r="H18" s="54"/>
      <c r="I18" s="1155"/>
      <c r="J18" s="1156"/>
      <c r="K18" s="141"/>
      <c r="L18" s="209"/>
    </row>
    <row r="19" spans="1:12" ht="12.75">
      <c r="A19" s="489">
        <v>7258</v>
      </c>
      <c r="B19" s="1154"/>
      <c r="C19" s="446" t="s">
        <v>224</v>
      </c>
      <c r="D19" s="450">
        <f>K17</f>
        <v>0</v>
      </c>
      <c r="E19" s="448" t="s">
        <v>392</v>
      </c>
      <c r="F19" s="442"/>
      <c r="G19" s="487">
        <f t="shared" si="0"/>
        <v>0</v>
      </c>
      <c r="H19" s="54"/>
      <c r="I19" s="140"/>
      <c r="J19" s="140"/>
      <c r="K19" s="141"/>
      <c r="L19" s="209"/>
    </row>
    <row r="20" spans="1:12" ht="16.5" customHeight="1">
      <c r="A20" s="486">
        <v>371</v>
      </c>
      <c r="B20" s="1154"/>
      <c r="C20" s="443" t="s">
        <v>225</v>
      </c>
      <c r="D20" s="450">
        <f>K18</f>
        <v>0</v>
      </c>
      <c r="E20" s="441" t="s">
        <v>32</v>
      </c>
      <c r="F20" s="442"/>
      <c r="G20" s="487">
        <f t="shared" si="0"/>
        <v>0</v>
      </c>
      <c r="H20" s="54"/>
      <c r="I20" s="140"/>
      <c r="J20" s="140"/>
      <c r="K20" s="141"/>
      <c r="L20" s="209"/>
    </row>
    <row r="21" spans="1:12" ht="25.5">
      <c r="A21" s="486" t="s">
        <v>31</v>
      </c>
      <c r="B21" s="1157" t="s">
        <v>240</v>
      </c>
      <c r="C21" s="452" t="s">
        <v>479</v>
      </c>
      <c r="D21" s="453">
        <f>(1.2*1.2*0.15)-(PI()*(((0.6/2)^2)*0.15))</f>
        <v>0.1735884991765378</v>
      </c>
      <c r="E21" s="441" t="s">
        <v>9</v>
      </c>
      <c r="F21" s="442">
        <v>353.6</v>
      </c>
      <c r="G21" s="487">
        <f t="shared" si="0"/>
        <v>61.380893308823765</v>
      </c>
      <c r="H21" s="54"/>
      <c r="I21" s="1158"/>
      <c r="J21" s="1158"/>
      <c r="K21" s="143"/>
      <c r="L21" s="211"/>
    </row>
    <row r="22" spans="1:12" ht="12.75">
      <c r="A22" s="486">
        <v>34</v>
      </c>
      <c r="B22" s="1157"/>
      <c r="C22" s="443" t="s">
        <v>221</v>
      </c>
      <c r="D22" s="444">
        <v>19</v>
      </c>
      <c r="E22" s="441" t="s">
        <v>32</v>
      </c>
      <c r="F22" s="442">
        <v>3.66</v>
      </c>
      <c r="G22" s="487">
        <f t="shared" si="0"/>
        <v>69.54</v>
      </c>
      <c r="H22" s="54"/>
      <c r="I22" s="1158"/>
      <c r="J22" s="1158"/>
      <c r="K22" s="143"/>
      <c r="L22" s="211"/>
    </row>
    <row r="23" spans="1:12" ht="12.75">
      <c r="A23" s="486">
        <v>21090</v>
      </c>
      <c r="B23" s="1157"/>
      <c r="C23" s="443" t="s">
        <v>480</v>
      </c>
      <c r="D23" s="444">
        <v>1</v>
      </c>
      <c r="E23" s="441" t="s">
        <v>4</v>
      </c>
      <c r="F23" s="442">
        <v>563.92</v>
      </c>
      <c r="G23" s="487">
        <f t="shared" si="0"/>
        <v>563.92</v>
      </c>
      <c r="H23" s="54"/>
      <c r="I23" s="8"/>
      <c r="J23" s="8"/>
      <c r="K23" s="8"/>
      <c r="L23" s="209"/>
    </row>
    <row r="24" spans="1:11" ht="12.75">
      <c r="A24" s="1142" t="s">
        <v>33</v>
      </c>
      <c r="B24" s="1143"/>
      <c r="C24" s="1143"/>
      <c r="D24" s="1143"/>
      <c r="E24" s="1143"/>
      <c r="F24" s="1143"/>
      <c r="G24" s="431">
        <f>SUM(G11:G23)</f>
        <v>1321.1137083088236</v>
      </c>
      <c r="H24" s="54"/>
      <c r="I24" s="54"/>
      <c r="J24" s="54"/>
      <c r="K24" s="54"/>
    </row>
    <row r="25" spans="1:11" ht="12.75">
      <c r="A25" s="1142"/>
      <c r="B25" s="1143"/>
      <c r="C25" s="1143"/>
      <c r="D25" s="1143"/>
      <c r="E25" s="1143"/>
      <c r="F25" s="1143"/>
      <c r="G25" s="1144"/>
      <c r="H25" s="54"/>
      <c r="I25" s="54"/>
      <c r="J25" s="54"/>
      <c r="K25" s="54"/>
    </row>
    <row r="26" spans="1:11" ht="12.75">
      <c r="A26" s="426" t="s">
        <v>0</v>
      </c>
      <c r="B26" s="1152" t="s">
        <v>14</v>
      </c>
      <c r="C26" s="1153"/>
      <c r="D26" s="61" t="s">
        <v>27</v>
      </c>
      <c r="E26" s="295" t="s">
        <v>28</v>
      </c>
      <c r="F26" s="10" t="s">
        <v>29</v>
      </c>
      <c r="G26" s="429" t="s">
        <v>30</v>
      </c>
      <c r="H26" s="54"/>
      <c r="I26" s="54"/>
      <c r="J26" s="54"/>
      <c r="K26" s="54"/>
    </row>
    <row r="27" spans="1:11" ht="12.75">
      <c r="A27" s="432"/>
      <c r="B27" s="157"/>
      <c r="C27" s="62" t="s">
        <v>34</v>
      </c>
      <c r="D27" s="360">
        <v>1.1</v>
      </c>
      <c r="E27" s="63" t="s">
        <v>215</v>
      </c>
      <c r="F27" s="361">
        <v>0.78</v>
      </c>
      <c r="G27" s="433">
        <f>D27*F27</f>
        <v>0.8580000000000001</v>
      </c>
      <c r="H27" s="54" t="s">
        <v>226</v>
      </c>
      <c r="I27" s="54"/>
      <c r="J27" s="54"/>
      <c r="K27" s="54"/>
    </row>
    <row r="28" spans="1:11" ht="12.75">
      <c r="A28" s="430"/>
      <c r="B28" s="362"/>
      <c r="C28" s="363"/>
      <c r="D28" s="364"/>
      <c r="E28" s="365"/>
      <c r="F28" s="366"/>
      <c r="G28" s="434">
        <f>D28*F28</f>
        <v>0</v>
      </c>
      <c r="H28" s="54"/>
      <c r="I28" s="54">
        <f>1.7*1.7*0.77</f>
        <v>2.2253</v>
      </c>
      <c r="J28" s="54"/>
      <c r="K28" s="54"/>
    </row>
    <row r="29" spans="1:11" ht="12.75">
      <c r="A29" s="12"/>
      <c r="B29" s="9"/>
      <c r="C29" s="9"/>
      <c r="D29" s="367"/>
      <c r="E29" s="368"/>
      <c r="F29" s="369"/>
      <c r="G29" s="435">
        <f>D29*F29</f>
        <v>0</v>
      </c>
      <c r="H29" s="54"/>
      <c r="I29" s="54"/>
      <c r="J29" s="54"/>
      <c r="K29" s="54"/>
    </row>
    <row r="30" spans="1:11" ht="12.75">
      <c r="A30" s="12"/>
      <c r="B30" s="9"/>
      <c r="C30" s="9"/>
      <c r="D30" s="367"/>
      <c r="E30" s="368"/>
      <c r="F30" s="369"/>
      <c r="G30" s="435">
        <f>D30*F30</f>
        <v>0</v>
      </c>
      <c r="H30" s="54"/>
      <c r="I30" s="54"/>
      <c r="J30" s="54">
        <f>1.7*1.7*1.67</f>
        <v>4.826299999999999</v>
      </c>
      <c r="K30" s="54"/>
    </row>
    <row r="31" spans="1:11" ht="12.75">
      <c r="A31" s="436"/>
      <c r="B31" s="334"/>
      <c r="C31" s="334"/>
      <c r="D31" s="370"/>
      <c r="E31" s="371"/>
      <c r="F31" s="372"/>
      <c r="G31" s="437">
        <f>D31*F31</f>
        <v>0</v>
      </c>
      <c r="H31" s="54"/>
      <c r="I31" s="54"/>
      <c r="J31" s="54"/>
      <c r="K31" s="54"/>
    </row>
    <row r="32" spans="1:11" ht="12.75">
      <c r="A32" s="1142" t="s">
        <v>35</v>
      </c>
      <c r="B32" s="1143"/>
      <c r="C32" s="1143"/>
      <c r="D32" s="1143"/>
      <c r="E32" s="1143"/>
      <c r="F32" s="1143"/>
      <c r="G32" s="438">
        <f>SUM(G27:G31)</f>
        <v>0.8580000000000001</v>
      </c>
      <c r="H32" s="54"/>
      <c r="I32" s="54"/>
      <c r="J32" s="54"/>
      <c r="K32" s="54"/>
    </row>
    <row r="33" spans="1:11" ht="12.75">
      <c r="A33" s="1142"/>
      <c r="B33" s="1143"/>
      <c r="C33" s="1143"/>
      <c r="D33" s="1143"/>
      <c r="E33" s="1143"/>
      <c r="F33" s="1143"/>
      <c r="G33" s="1144"/>
      <c r="H33" s="54"/>
      <c r="I33" s="54"/>
      <c r="J33" s="54"/>
      <c r="K33" s="54"/>
    </row>
    <row r="34" spans="1:11" ht="12.75">
      <c r="A34" s="426" t="s">
        <v>0</v>
      </c>
      <c r="B34" s="1152" t="s">
        <v>36</v>
      </c>
      <c r="C34" s="1153"/>
      <c r="D34" s="61" t="s">
        <v>27</v>
      </c>
      <c r="E34" s="295" t="s">
        <v>28</v>
      </c>
      <c r="F34" s="10" t="s">
        <v>29</v>
      </c>
      <c r="G34" s="429" t="s">
        <v>30</v>
      </c>
      <c r="H34" s="54"/>
      <c r="I34" s="54"/>
      <c r="J34" s="54"/>
      <c r="K34" s="54"/>
    </row>
    <row r="35" spans="1:11" ht="12.75">
      <c r="A35" s="498">
        <v>6127</v>
      </c>
      <c r="B35" s="471"/>
      <c r="C35" s="472" t="s">
        <v>37</v>
      </c>
      <c r="D35" s="473">
        <f>4*(K9-0.2)*1.8</f>
        <v>8.28</v>
      </c>
      <c r="E35" s="295" t="s">
        <v>215</v>
      </c>
      <c r="F35" s="474">
        <v>9.56</v>
      </c>
      <c r="G35" s="438">
        <f>D35*F35</f>
        <v>79.1568</v>
      </c>
      <c r="H35" s="54"/>
      <c r="I35" s="54" t="s">
        <v>227</v>
      </c>
      <c r="J35" s="54" t="s">
        <v>233</v>
      </c>
      <c r="K35" s="54"/>
    </row>
    <row r="36" spans="1:11" ht="12.75">
      <c r="A36" s="498">
        <v>4750</v>
      </c>
      <c r="B36" s="471"/>
      <c r="C36" s="472" t="s">
        <v>38</v>
      </c>
      <c r="D36" s="473">
        <f>4*(K9-0.2)*1.5</f>
        <v>6.8999999999999995</v>
      </c>
      <c r="E36" s="441" t="s">
        <v>215</v>
      </c>
      <c r="F36" s="474">
        <v>11.79</v>
      </c>
      <c r="G36" s="438">
        <f>D36*F36</f>
        <v>81.35099999999998</v>
      </c>
      <c r="H36" s="54"/>
      <c r="I36" s="54" t="s">
        <v>228</v>
      </c>
      <c r="J36" s="54" t="s">
        <v>234</v>
      </c>
      <c r="K36" s="54"/>
    </row>
    <row r="37" spans="1:11" ht="12.75">
      <c r="A37" s="1142" t="s">
        <v>39</v>
      </c>
      <c r="B37" s="1143"/>
      <c r="C37" s="1143"/>
      <c r="D37" s="1143"/>
      <c r="E37" s="1143"/>
      <c r="F37" s="1143"/>
      <c r="G37" s="438">
        <f>SUM(G35:G36)</f>
        <v>160.50779999999997</v>
      </c>
      <c r="H37" s="54"/>
      <c r="I37" s="54"/>
      <c r="J37" s="54"/>
      <c r="K37" s="54"/>
    </row>
    <row r="38" spans="1:11" ht="12.75">
      <c r="A38" s="1142"/>
      <c r="B38" s="1143"/>
      <c r="C38" s="1143"/>
      <c r="D38" s="1143"/>
      <c r="E38" s="1143"/>
      <c r="F38" s="1143"/>
      <c r="G38" s="1144"/>
      <c r="H38" s="54"/>
      <c r="I38" s="54"/>
      <c r="J38" s="54"/>
      <c r="K38" s="54"/>
    </row>
    <row r="39" spans="1:11" ht="12.75">
      <c r="A39" s="1142" t="s">
        <v>40</v>
      </c>
      <c r="B39" s="1143"/>
      <c r="C39" s="1143"/>
      <c r="D39" s="1143"/>
      <c r="E39" s="1143"/>
      <c r="F39" s="1143"/>
      <c r="G39" s="438">
        <f>G37</f>
        <v>160.50779999999997</v>
      </c>
      <c r="H39" s="54"/>
      <c r="I39" s="54"/>
      <c r="J39" s="54"/>
      <c r="K39" s="54"/>
    </row>
    <row r="40" spans="1:11" ht="12.75">
      <c r="A40" s="1142"/>
      <c r="B40" s="1143"/>
      <c r="C40" s="1143"/>
      <c r="D40" s="1143"/>
      <c r="E40" s="1143"/>
      <c r="F40" s="1143"/>
      <c r="G40" s="1144"/>
      <c r="H40" s="54"/>
      <c r="I40" s="54"/>
      <c r="J40" s="54"/>
      <c r="K40" s="54"/>
    </row>
    <row r="41" spans="1:11" ht="12.75">
      <c r="A41" s="1142"/>
      <c r="B41" s="1143"/>
      <c r="C41" s="1143"/>
      <c r="D41" s="1143"/>
      <c r="E41" s="1143"/>
      <c r="F41" s="1143"/>
      <c r="G41" s="1144"/>
      <c r="H41" s="54"/>
      <c r="I41" s="54"/>
      <c r="J41" s="54"/>
      <c r="K41" s="54"/>
    </row>
    <row r="42" spans="1:11" ht="12.75">
      <c r="A42" s="1142" t="s">
        <v>41</v>
      </c>
      <c r="B42" s="1143"/>
      <c r="C42" s="1143"/>
      <c r="D42" s="1143"/>
      <c r="E42" s="1143"/>
      <c r="F42" s="1143"/>
      <c r="G42" s="439">
        <f>G39+G32+G24</f>
        <v>1482.4795083088236</v>
      </c>
      <c r="H42" s="54"/>
      <c r="I42" s="54"/>
      <c r="J42" s="54"/>
      <c r="K42" s="54"/>
    </row>
    <row r="43" spans="1:11" ht="12.75">
      <c r="A43" s="1142"/>
      <c r="B43" s="1143"/>
      <c r="C43" s="1143"/>
      <c r="D43" s="1143"/>
      <c r="E43" s="1143"/>
      <c r="F43" s="1143"/>
      <c r="G43" s="1144"/>
      <c r="H43" s="54"/>
      <c r="I43" s="54"/>
      <c r="J43" s="54"/>
      <c r="K43" s="54"/>
    </row>
    <row r="44" spans="1:11" ht="12.75">
      <c r="A44" s="1142" t="s">
        <v>42</v>
      </c>
      <c r="B44" s="1143"/>
      <c r="C44" s="1143"/>
      <c r="D44" s="1143"/>
      <c r="E44" s="1143"/>
      <c r="F44" s="571">
        <f>'dados de entrada'!B10</f>
        <v>0.2373</v>
      </c>
      <c r="G44" s="438">
        <f>G42*F44</f>
        <v>351.79238732168386</v>
      </c>
      <c r="H44" s="307" t="s">
        <v>229</v>
      </c>
      <c r="I44" s="54"/>
      <c r="J44" s="54"/>
      <c r="K44" s="54"/>
    </row>
    <row r="45" spans="1:11" ht="12.75">
      <c r="A45" s="1142"/>
      <c r="B45" s="1143"/>
      <c r="C45" s="1143"/>
      <c r="D45" s="1143"/>
      <c r="E45" s="1143"/>
      <c r="F45" s="1143"/>
      <c r="G45" s="1144"/>
      <c r="H45" s="54"/>
      <c r="I45" s="54"/>
      <c r="J45" s="54"/>
      <c r="K45" s="54"/>
    </row>
    <row r="46" spans="1:11" ht="12.75">
      <c r="A46" s="1142" t="s">
        <v>43</v>
      </c>
      <c r="B46" s="1143"/>
      <c r="C46" s="1143"/>
      <c r="D46" s="1143"/>
      <c r="E46" s="1143"/>
      <c r="F46" s="1143"/>
      <c r="G46" s="439">
        <f>G42+G44</f>
        <v>1834.2718956305075</v>
      </c>
      <c r="H46" s="54"/>
      <c r="I46" s="54"/>
      <c r="J46" s="54"/>
      <c r="K46" s="54"/>
    </row>
    <row r="47" spans="1:7" ht="13.5" thickBot="1">
      <c r="A47" s="1159"/>
      <c r="B47" s="1160"/>
      <c r="C47" s="1160"/>
      <c r="D47" s="1160"/>
      <c r="E47" s="1160"/>
      <c r="F47" s="1160"/>
      <c r="G47" s="1161"/>
    </row>
  </sheetData>
  <sheetProtection/>
  <mergeCells count="36">
    <mergeCell ref="A44:E44"/>
    <mergeCell ref="A45:G45"/>
    <mergeCell ref="A46:F46"/>
    <mergeCell ref="A47:G47"/>
    <mergeCell ref="A37:F37"/>
    <mergeCell ref="A38:G38"/>
    <mergeCell ref="A39:F39"/>
    <mergeCell ref="A40:G41"/>
    <mergeCell ref="A42:F42"/>
    <mergeCell ref="A43:G43"/>
    <mergeCell ref="A24:F24"/>
    <mergeCell ref="A25:G25"/>
    <mergeCell ref="B26:C26"/>
    <mergeCell ref="A32:F32"/>
    <mergeCell ref="A33:G33"/>
    <mergeCell ref="B34:C34"/>
    <mergeCell ref="B17:B20"/>
    <mergeCell ref="I17:J17"/>
    <mergeCell ref="I18:J18"/>
    <mergeCell ref="B21:B23"/>
    <mergeCell ref="I21:J21"/>
    <mergeCell ref="I22:J22"/>
    <mergeCell ref="A9:G9"/>
    <mergeCell ref="I9:J9"/>
    <mergeCell ref="B10:C10"/>
    <mergeCell ref="I10:J10"/>
    <mergeCell ref="B11:B16"/>
    <mergeCell ref="I11:J11"/>
    <mergeCell ref="I16:J16"/>
    <mergeCell ref="E1:G1"/>
    <mergeCell ref="A5:G5"/>
    <mergeCell ref="A6:G6"/>
    <mergeCell ref="A7:D7"/>
    <mergeCell ref="E7:F7"/>
    <mergeCell ref="A8:D8"/>
    <mergeCell ref="E8:F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3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P47"/>
  <sheetViews>
    <sheetView zoomScaleSheetLayoutView="115" zoomScalePageLayoutView="0" workbookViewId="0" topLeftCell="A1">
      <selection activeCell="A45" sqref="A45:G45"/>
    </sheetView>
  </sheetViews>
  <sheetFormatPr defaultColWidth="9.140625" defaultRowHeight="12.75"/>
  <cols>
    <col min="1" max="1" width="10.8515625" style="0" customWidth="1"/>
    <col min="2" max="2" width="4.00390625" style="0" customWidth="1"/>
    <col min="3" max="3" width="61.8515625" style="0" customWidth="1"/>
    <col min="4" max="4" width="14.140625" style="1" customWidth="1"/>
    <col min="5" max="5" width="5.8515625" style="48" bestFit="1" customWidth="1"/>
    <col min="6" max="6" width="14.57421875" style="0" customWidth="1"/>
    <col min="7" max="7" width="18.140625" style="212" customWidth="1"/>
    <col min="9" max="9" width="20.28125" style="0" customWidth="1"/>
    <col min="10" max="10" width="20.00390625" style="0" customWidth="1"/>
    <col min="11" max="11" width="9.7109375" style="0" bestFit="1" customWidth="1"/>
  </cols>
  <sheetData>
    <row r="1" spans="1:11" ht="12.75">
      <c r="A1" s="475"/>
      <c r="B1" s="476"/>
      <c r="C1" s="477" t="s">
        <v>18</v>
      </c>
      <c r="D1" s="477" t="s">
        <v>19</v>
      </c>
      <c r="E1" s="1162" t="str">
        <f>'dados de entrada'!B9</f>
        <v>SINAPI - 01/01/2014 - COM DESONERAÇÃO </v>
      </c>
      <c r="F1" s="1162"/>
      <c r="G1" s="1028"/>
      <c r="H1" s="54"/>
      <c r="I1" s="142" t="s">
        <v>230</v>
      </c>
      <c r="J1" s="54"/>
      <c r="K1" s="54"/>
    </row>
    <row r="2" spans="1:11" ht="12.75">
      <c r="A2" s="421" t="str">
        <f>'dados de entrada'!B15</f>
        <v>PREFEITURA MUNICIPAL DE BOMBINHAS</v>
      </c>
      <c r="B2" s="332"/>
      <c r="C2" s="230"/>
      <c r="D2" s="246"/>
      <c r="E2" s="253"/>
      <c r="F2" s="230" t="s">
        <v>20</v>
      </c>
      <c r="G2" s="478" t="s">
        <v>21</v>
      </c>
      <c r="H2" s="54"/>
      <c r="I2" s="54"/>
      <c r="J2" s="54"/>
      <c r="K2" s="54"/>
    </row>
    <row r="3" spans="1:11" ht="12.75">
      <c r="A3" s="479" t="str">
        <f>'dados de entrada'!C19</f>
        <v>RUA MERGULHÃO CAÇADOR - BAIRRO BOMBAS</v>
      </c>
      <c r="B3" s="480"/>
      <c r="C3" s="230"/>
      <c r="D3" s="246"/>
      <c r="E3" s="253"/>
      <c r="F3" s="230" t="s">
        <v>22</v>
      </c>
      <c r="G3" s="478" t="s">
        <v>23</v>
      </c>
      <c r="H3" s="54"/>
      <c r="I3" s="54"/>
      <c r="J3" s="54"/>
      <c r="K3" s="54"/>
    </row>
    <row r="4" spans="1:11" ht="12.75">
      <c r="A4" s="479" t="str">
        <f>'dados de entrada'!B8</f>
        <v>PAVIMENTAÇÃO COM LAJOTAS SEXTAVADAS E DRENAGEM PLUVIAL </v>
      </c>
      <c r="B4" s="480"/>
      <c r="C4" s="230"/>
      <c r="D4" s="246"/>
      <c r="E4" s="253"/>
      <c r="F4" s="230"/>
      <c r="G4" s="481"/>
      <c r="H4" s="54"/>
      <c r="I4" s="54"/>
      <c r="J4" s="54"/>
      <c r="K4" s="54"/>
    </row>
    <row r="5" spans="1:11" ht="12.75">
      <c r="A5" s="1163" t="s">
        <v>471</v>
      </c>
      <c r="B5" s="1164"/>
      <c r="C5" s="1164"/>
      <c r="D5" s="1164"/>
      <c r="E5" s="1164"/>
      <c r="F5" s="1164"/>
      <c r="G5" s="1165"/>
      <c r="H5" s="54"/>
      <c r="I5" s="54"/>
      <c r="J5" s="54"/>
      <c r="K5" s="54"/>
    </row>
    <row r="6" spans="1:11" ht="12.75">
      <c r="A6" s="1142"/>
      <c r="B6" s="1143"/>
      <c r="C6" s="1143"/>
      <c r="D6" s="1143"/>
      <c r="E6" s="1143"/>
      <c r="F6" s="1143"/>
      <c r="G6" s="1166"/>
      <c r="H6" s="54"/>
      <c r="I6" s="54"/>
      <c r="J6" s="54"/>
      <c r="K6" s="54"/>
    </row>
    <row r="7" spans="1:11" ht="12.75">
      <c r="A7" s="1142" t="s">
        <v>24</v>
      </c>
      <c r="B7" s="1143"/>
      <c r="C7" s="1143"/>
      <c r="D7" s="1143"/>
      <c r="E7" s="1143" t="s">
        <v>25</v>
      </c>
      <c r="F7" s="1143"/>
      <c r="G7" s="482" t="s">
        <v>11</v>
      </c>
      <c r="H7" s="54"/>
      <c r="I7" s="54"/>
      <c r="J7" s="54"/>
      <c r="K7" s="54"/>
    </row>
    <row r="8" spans="1:11" ht="13.5" thickBot="1">
      <c r="A8" s="1145" t="s">
        <v>481</v>
      </c>
      <c r="B8" s="1146"/>
      <c r="C8" s="1146"/>
      <c r="D8" s="1146"/>
      <c r="E8" s="1143" t="s">
        <v>4</v>
      </c>
      <c r="F8" s="1143"/>
      <c r="G8" s="483">
        <f>'dados de entrada'!B3</f>
        <v>41730</v>
      </c>
      <c r="H8" s="54"/>
      <c r="I8" s="54"/>
      <c r="J8" s="54"/>
      <c r="K8" s="54"/>
    </row>
    <row r="9" spans="1:11" ht="13.5" thickBot="1">
      <c r="A9" s="1167"/>
      <c r="B9" s="1168"/>
      <c r="C9" s="1168"/>
      <c r="D9" s="1168"/>
      <c r="E9" s="1168"/>
      <c r="F9" s="1168"/>
      <c r="G9" s="1169"/>
      <c r="H9" s="54"/>
      <c r="I9" s="1150" t="s">
        <v>222</v>
      </c>
      <c r="J9" s="1151"/>
      <c r="K9" s="60">
        <v>0.9</v>
      </c>
    </row>
    <row r="10" spans="1:11" ht="13.5" thickBot="1">
      <c r="A10" s="484" t="s">
        <v>0</v>
      </c>
      <c r="B10" s="1143" t="s">
        <v>26</v>
      </c>
      <c r="C10" s="1143"/>
      <c r="D10" s="455" t="s">
        <v>27</v>
      </c>
      <c r="E10" s="445" t="s">
        <v>28</v>
      </c>
      <c r="F10" s="454" t="s">
        <v>29</v>
      </c>
      <c r="G10" s="485" t="s">
        <v>30</v>
      </c>
      <c r="H10" s="54"/>
      <c r="I10" s="1150" t="s">
        <v>223</v>
      </c>
      <c r="J10" s="1151"/>
      <c r="K10" s="60">
        <f>ROUND((4*144*K9)-(2*3.1415*0.3*0.3*2*144),0)</f>
        <v>356</v>
      </c>
    </row>
    <row r="11" spans="1:11" ht="13.5" thickBot="1">
      <c r="A11" s="486">
        <v>73599</v>
      </c>
      <c r="B11" s="1154" t="s">
        <v>239</v>
      </c>
      <c r="C11" s="443" t="s">
        <v>475</v>
      </c>
      <c r="D11" s="440">
        <f>1.7*1.7*K9</f>
        <v>2.601</v>
      </c>
      <c r="E11" s="441" t="s">
        <v>9</v>
      </c>
      <c r="F11" s="442">
        <v>7.67</v>
      </c>
      <c r="G11" s="487">
        <f aca="true" t="shared" si="0" ref="G11:G23">D11*F11</f>
        <v>19.94967</v>
      </c>
      <c r="H11" s="54"/>
      <c r="I11" s="1150" t="s">
        <v>140</v>
      </c>
      <c r="J11" s="1151"/>
      <c r="K11" s="60">
        <f>ROUND(K10*0.25,0)</f>
        <v>89</v>
      </c>
    </row>
    <row r="12" spans="1:16" ht="12.75" customHeight="1">
      <c r="A12" s="488" t="s">
        <v>191</v>
      </c>
      <c r="B12" s="1154"/>
      <c r="C12" s="443" t="s">
        <v>231</v>
      </c>
      <c r="D12" s="440">
        <f>1.7*1.7*0.1</f>
        <v>0.289</v>
      </c>
      <c r="E12" s="441" t="s">
        <v>9</v>
      </c>
      <c r="F12" s="442">
        <v>97.19</v>
      </c>
      <c r="G12" s="487">
        <f t="shared" si="0"/>
        <v>28.087909999999997</v>
      </c>
      <c r="H12" s="54"/>
      <c r="I12" s="54"/>
      <c r="J12" s="54"/>
      <c r="K12" s="54"/>
      <c r="O12" s="135"/>
      <c r="P12" s="135"/>
    </row>
    <row r="13" spans="1:16" ht="25.5">
      <c r="A13" s="486" t="s">
        <v>31</v>
      </c>
      <c r="B13" s="1154"/>
      <c r="C13" s="443" t="s">
        <v>232</v>
      </c>
      <c r="D13" s="440">
        <f>1.7*1.7*0.1</f>
        <v>0.289</v>
      </c>
      <c r="E13" s="441" t="s">
        <v>9</v>
      </c>
      <c r="F13" s="442">
        <v>353.6</v>
      </c>
      <c r="G13" s="487">
        <f t="shared" si="0"/>
        <v>102.1904</v>
      </c>
      <c r="H13" s="54"/>
      <c r="I13" s="54"/>
      <c r="J13" s="54"/>
      <c r="K13" s="54"/>
      <c r="O13" s="135"/>
      <c r="P13" s="135"/>
    </row>
    <row r="14" spans="1:16" ht="12.75" customHeight="1">
      <c r="A14" s="486">
        <v>34</v>
      </c>
      <c r="B14" s="1154"/>
      <c r="C14" s="443" t="s">
        <v>221</v>
      </c>
      <c r="D14" s="444">
        <v>37</v>
      </c>
      <c r="E14" s="441" t="s">
        <v>32</v>
      </c>
      <c r="F14" s="442">
        <v>3.66</v>
      </c>
      <c r="G14" s="487">
        <f t="shared" si="0"/>
        <v>135.42000000000002</v>
      </c>
      <c r="H14" s="54"/>
      <c r="I14" s="8"/>
      <c r="J14" s="8"/>
      <c r="K14" s="8"/>
      <c r="L14" s="209"/>
      <c r="O14" s="135"/>
      <c r="P14" s="135"/>
    </row>
    <row r="15" spans="1:12" ht="12.75" customHeight="1">
      <c r="A15" s="489">
        <v>7258</v>
      </c>
      <c r="B15" s="1154"/>
      <c r="C15" s="446" t="s">
        <v>224</v>
      </c>
      <c r="D15" s="447">
        <f>ROUNDUP(K10,0)</f>
        <v>356</v>
      </c>
      <c r="E15" s="448" t="s">
        <v>392</v>
      </c>
      <c r="F15" s="449">
        <v>0.45</v>
      </c>
      <c r="G15" s="487">
        <f t="shared" si="0"/>
        <v>160.20000000000002</v>
      </c>
      <c r="H15" s="54"/>
      <c r="I15" s="8"/>
      <c r="J15" s="8"/>
      <c r="K15" s="8"/>
      <c r="L15" s="209"/>
    </row>
    <row r="16" spans="1:12" ht="12.75" customHeight="1">
      <c r="A16" s="486">
        <v>371</v>
      </c>
      <c r="B16" s="1154"/>
      <c r="C16" s="443" t="s">
        <v>225</v>
      </c>
      <c r="D16" s="450">
        <f>ROUNDUP(K11,0)</f>
        <v>89</v>
      </c>
      <c r="E16" s="441" t="s">
        <v>32</v>
      </c>
      <c r="F16" s="442">
        <v>0.35</v>
      </c>
      <c r="G16" s="487">
        <f t="shared" si="0"/>
        <v>31.15</v>
      </c>
      <c r="H16" s="54"/>
      <c r="I16" s="1155"/>
      <c r="J16" s="1155"/>
      <c r="K16" s="141"/>
      <c r="L16" s="209"/>
    </row>
    <row r="17" spans="1:12" ht="17.25" customHeight="1">
      <c r="A17" s="486" t="s">
        <v>31</v>
      </c>
      <c r="B17" s="1154" t="s">
        <v>241</v>
      </c>
      <c r="C17" s="451" t="s">
        <v>478</v>
      </c>
      <c r="D17" s="440"/>
      <c r="E17" s="441" t="s">
        <v>9</v>
      </c>
      <c r="F17" s="442"/>
      <c r="G17" s="487">
        <f>D17*F17</f>
        <v>0</v>
      </c>
      <c r="H17" s="54"/>
      <c r="I17" s="1155"/>
      <c r="J17" s="1156"/>
      <c r="K17" s="141"/>
      <c r="L17" s="209"/>
    </row>
    <row r="18" spans="1:12" ht="12.75" customHeight="1">
      <c r="A18" s="486">
        <v>34</v>
      </c>
      <c r="B18" s="1154"/>
      <c r="C18" s="443" t="s">
        <v>221</v>
      </c>
      <c r="D18" s="444"/>
      <c r="E18" s="441" t="s">
        <v>32</v>
      </c>
      <c r="F18" s="442"/>
      <c r="G18" s="487">
        <f>D18*F18</f>
        <v>0</v>
      </c>
      <c r="H18" s="54"/>
      <c r="I18" s="1155"/>
      <c r="J18" s="1156"/>
      <c r="K18" s="141"/>
      <c r="L18" s="209"/>
    </row>
    <row r="19" spans="1:12" ht="12.75">
      <c r="A19" s="489">
        <v>7258</v>
      </c>
      <c r="B19" s="1154"/>
      <c r="C19" s="446" t="s">
        <v>224</v>
      </c>
      <c r="D19" s="450">
        <f>K17</f>
        <v>0</v>
      </c>
      <c r="E19" s="448" t="s">
        <v>392</v>
      </c>
      <c r="F19" s="442"/>
      <c r="G19" s="487">
        <f t="shared" si="0"/>
        <v>0</v>
      </c>
      <c r="H19" s="54"/>
      <c r="I19" s="140"/>
      <c r="J19" s="140"/>
      <c r="K19" s="141"/>
      <c r="L19" s="209"/>
    </row>
    <row r="20" spans="1:12" ht="16.5" customHeight="1">
      <c r="A20" s="486">
        <v>371</v>
      </c>
      <c r="B20" s="1154"/>
      <c r="C20" s="443" t="s">
        <v>225</v>
      </c>
      <c r="D20" s="450">
        <f>K18</f>
        <v>0</v>
      </c>
      <c r="E20" s="441" t="s">
        <v>32</v>
      </c>
      <c r="F20" s="442"/>
      <c r="G20" s="487">
        <f t="shared" si="0"/>
        <v>0</v>
      </c>
      <c r="H20" s="54"/>
      <c r="I20" s="140"/>
      <c r="J20" s="140"/>
      <c r="K20" s="141"/>
      <c r="L20" s="209"/>
    </row>
    <row r="21" spans="1:12" ht="25.5">
      <c r="A21" s="486" t="s">
        <v>31</v>
      </c>
      <c r="B21" s="1157" t="s">
        <v>240</v>
      </c>
      <c r="C21" s="452" t="s">
        <v>393</v>
      </c>
      <c r="D21" s="453">
        <f>1.2*1.2*0.15</f>
        <v>0.216</v>
      </c>
      <c r="E21" s="441" t="s">
        <v>9</v>
      </c>
      <c r="F21" s="442">
        <v>353.6</v>
      </c>
      <c r="G21" s="487">
        <f t="shared" si="0"/>
        <v>76.3776</v>
      </c>
      <c r="H21" s="54"/>
      <c r="I21" s="1158"/>
      <c r="J21" s="1158"/>
      <c r="K21" s="143"/>
      <c r="L21" s="211"/>
    </row>
    <row r="22" spans="1:12" ht="12.75">
      <c r="A22" s="486">
        <v>34</v>
      </c>
      <c r="B22" s="1157"/>
      <c r="C22" s="443" t="s">
        <v>221</v>
      </c>
      <c r="D22" s="444">
        <v>19</v>
      </c>
      <c r="E22" s="441" t="s">
        <v>32</v>
      </c>
      <c r="F22" s="442">
        <v>3.66</v>
      </c>
      <c r="G22" s="487">
        <f t="shared" si="0"/>
        <v>69.54</v>
      </c>
      <c r="H22" s="54"/>
      <c r="I22" s="1158"/>
      <c r="J22" s="1158"/>
      <c r="K22" s="143"/>
      <c r="L22" s="211"/>
    </row>
    <row r="23" spans="1:12" ht="12.75">
      <c r="A23" s="486"/>
      <c r="B23" s="1157"/>
      <c r="C23" s="443"/>
      <c r="D23" s="444"/>
      <c r="E23" s="441"/>
      <c r="F23" s="442"/>
      <c r="G23" s="487">
        <f t="shared" si="0"/>
        <v>0</v>
      </c>
      <c r="H23" s="54"/>
      <c r="I23" s="8"/>
      <c r="J23" s="8"/>
      <c r="K23" s="8"/>
      <c r="L23" s="209"/>
    </row>
    <row r="24" spans="1:11" ht="12.75">
      <c r="A24" s="1142" t="s">
        <v>33</v>
      </c>
      <c r="B24" s="1143"/>
      <c r="C24" s="1143"/>
      <c r="D24" s="1143"/>
      <c r="E24" s="1143"/>
      <c r="F24" s="1143"/>
      <c r="G24" s="487">
        <f>SUM(G11:G23)</f>
        <v>622.91558</v>
      </c>
      <c r="H24" s="54"/>
      <c r="I24" s="54"/>
      <c r="J24" s="54"/>
      <c r="K24" s="54"/>
    </row>
    <row r="25" spans="1:11" ht="12.75">
      <c r="A25" s="1142"/>
      <c r="B25" s="1143"/>
      <c r="C25" s="1143"/>
      <c r="D25" s="1143"/>
      <c r="E25" s="1143"/>
      <c r="F25" s="1143"/>
      <c r="G25" s="1166"/>
      <c r="H25" s="54"/>
      <c r="I25" s="54"/>
      <c r="J25" s="54"/>
      <c r="K25" s="54"/>
    </row>
    <row r="26" spans="1:11" ht="12.75">
      <c r="A26" s="484" t="s">
        <v>0</v>
      </c>
      <c r="B26" s="1170" t="s">
        <v>14</v>
      </c>
      <c r="C26" s="1171"/>
      <c r="D26" s="455" t="s">
        <v>27</v>
      </c>
      <c r="E26" s="445" t="s">
        <v>28</v>
      </c>
      <c r="F26" s="454" t="s">
        <v>29</v>
      </c>
      <c r="G26" s="485" t="s">
        <v>30</v>
      </c>
      <c r="H26" s="54"/>
      <c r="I26" s="54"/>
      <c r="J26" s="54"/>
      <c r="K26" s="54"/>
    </row>
    <row r="27" spans="1:11" ht="12.75">
      <c r="A27" s="490"/>
      <c r="B27" s="456"/>
      <c r="C27" s="457" t="s">
        <v>34</v>
      </c>
      <c r="D27" s="458">
        <v>1.1</v>
      </c>
      <c r="E27" s="416" t="s">
        <v>215</v>
      </c>
      <c r="F27" s="417">
        <v>0.78</v>
      </c>
      <c r="G27" s="491">
        <f>D27*F27</f>
        <v>0.8580000000000001</v>
      </c>
      <c r="H27" s="54" t="s">
        <v>226</v>
      </c>
      <c r="I27" s="54"/>
      <c r="J27" s="54"/>
      <c r="K27" s="54"/>
    </row>
    <row r="28" spans="1:11" ht="12.75">
      <c r="A28" s="430"/>
      <c r="B28" s="459"/>
      <c r="C28" s="460"/>
      <c r="D28" s="461"/>
      <c r="E28" s="418"/>
      <c r="F28" s="462"/>
      <c r="G28" s="492">
        <f>D28*F28</f>
        <v>0</v>
      </c>
      <c r="H28" s="54"/>
      <c r="I28" s="54">
        <f>1.7*1.7*0.77</f>
        <v>2.2253</v>
      </c>
      <c r="J28" s="54"/>
      <c r="K28" s="54"/>
    </row>
    <row r="29" spans="1:11" ht="12.75">
      <c r="A29" s="493"/>
      <c r="B29" s="463"/>
      <c r="C29" s="463"/>
      <c r="D29" s="464"/>
      <c r="E29" s="465"/>
      <c r="F29" s="466"/>
      <c r="G29" s="494">
        <f>D29*F29</f>
        <v>0</v>
      </c>
      <c r="H29" s="54"/>
      <c r="I29" s="54"/>
      <c r="J29" s="54"/>
      <c r="K29" s="54"/>
    </row>
    <row r="30" spans="1:11" ht="12.75">
      <c r="A30" s="493"/>
      <c r="B30" s="463"/>
      <c r="C30" s="463"/>
      <c r="D30" s="464"/>
      <c r="E30" s="465"/>
      <c r="F30" s="466"/>
      <c r="G30" s="494">
        <f>D30*F30</f>
        <v>0</v>
      </c>
      <c r="H30" s="54"/>
      <c r="I30" s="54"/>
      <c r="J30" s="54">
        <f>1.7*1.7*1.67</f>
        <v>4.826299999999999</v>
      </c>
      <c r="K30" s="54"/>
    </row>
    <row r="31" spans="1:11" ht="12.75">
      <c r="A31" s="495"/>
      <c r="B31" s="467"/>
      <c r="C31" s="467"/>
      <c r="D31" s="468"/>
      <c r="E31" s="469"/>
      <c r="F31" s="470"/>
      <c r="G31" s="496">
        <f>D31*F31</f>
        <v>0</v>
      </c>
      <c r="H31" s="54"/>
      <c r="I31" s="54"/>
      <c r="J31" s="54"/>
      <c r="K31" s="54"/>
    </row>
    <row r="32" spans="1:11" ht="12.75">
      <c r="A32" s="1142" t="s">
        <v>35</v>
      </c>
      <c r="B32" s="1143"/>
      <c r="C32" s="1143"/>
      <c r="D32" s="1143"/>
      <c r="E32" s="1143"/>
      <c r="F32" s="1143"/>
      <c r="G32" s="497">
        <f>SUM(G27:G31)</f>
        <v>0.8580000000000001</v>
      </c>
      <c r="H32" s="54"/>
      <c r="I32" s="54"/>
      <c r="J32" s="54"/>
      <c r="K32" s="54"/>
    </row>
    <row r="33" spans="1:11" ht="12.75">
      <c r="A33" s="1142"/>
      <c r="B33" s="1143"/>
      <c r="C33" s="1143"/>
      <c r="D33" s="1143"/>
      <c r="E33" s="1143"/>
      <c r="F33" s="1143"/>
      <c r="G33" s="1166"/>
      <c r="H33" s="54"/>
      <c r="I33" s="54"/>
      <c r="J33" s="54"/>
      <c r="K33" s="54"/>
    </row>
    <row r="34" spans="1:11" ht="12.75">
      <c r="A34" s="484" t="s">
        <v>0</v>
      </c>
      <c r="B34" s="1170" t="s">
        <v>36</v>
      </c>
      <c r="C34" s="1171"/>
      <c r="D34" s="455" t="s">
        <v>27</v>
      </c>
      <c r="E34" s="445" t="s">
        <v>28</v>
      </c>
      <c r="F34" s="454" t="s">
        <v>29</v>
      </c>
      <c r="G34" s="485" t="s">
        <v>30</v>
      </c>
      <c r="H34" s="54"/>
      <c r="I34" s="54"/>
      <c r="J34" s="54"/>
      <c r="K34" s="54"/>
    </row>
    <row r="35" spans="1:11" ht="12.75">
      <c r="A35" s="498">
        <v>6127</v>
      </c>
      <c r="B35" s="471"/>
      <c r="C35" s="472" t="s">
        <v>37</v>
      </c>
      <c r="D35" s="473">
        <f>4*(K9-0.2)*1.8</f>
        <v>5.04</v>
      </c>
      <c r="E35" s="445" t="s">
        <v>215</v>
      </c>
      <c r="F35" s="474">
        <v>9.56</v>
      </c>
      <c r="G35" s="497">
        <f>D35*F35</f>
        <v>48.1824</v>
      </c>
      <c r="H35" s="54"/>
      <c r="I35" s="54" t="s">
        <v>227</v>
      </c>
      <c r="J35" s="54" t="s">
        <v>233</v>
      </c>
      <c r="K35" s="54"/>
    </row>
    <row r="36" spans="1:11" ht="12.75">
      <c r="A36" s="498">
        <v>4750</v>
      </c>
      <c r="B36" s="471"/>
      <c r="C36" s="472" t="s">
        <v>38</v>
      </c>
      <c r="D36" s="473">
        <f>4*(K9-0.2)*1.5</f>
        <v>4.199999999999999</v>
      </c>
      <c r="E36" s="441" t="s">
        <v>215</v>
      </c>
      <c r="F36" s="474">
        <v>11.79</v>
      </c>
      <c r="G36" s="497">
        <f>D36*F36</f>
        <v>49.51799999999999</v>
      </c>
      <c r="H36" s="54"/>
      <c r="I36" s="54" t="s">
        <v>228</v>
      </c>
      <c r="J36" s="54" t="s">
        <v>234</v>
      </c>
      <c r="K36" s="54"/>
    </row>
    <row r="37" spans="1:11" ht="12.75">
      <c r="A37" s="1142" t="s">
        <v>39</v>
      </c>
      <c r="B37" s="1143"/>
      <c r="C37" s="1143"/>
      <c r="D37" s="1143"/>
      <c r="E37" s="1143"/>
      <c r="F37" s="1143"/>
      <c r="G37" s="497">
        <f>SUM(G35:G36)</f>
        <v>97.70039999999999</v>
      </c>
      <c r="H37" s="54"/>
      <c r="I37" s="54"/>
      <c r="J37" s="54"/>
      <c r="K37" s="54"/>
    </row>
    <row r="38" spans="1:11" ht="12.75">
      <c r="A38" s="1142"/>
      <c r="B38" s="1143"/>
      <c r="C38" s="1143"/>
      <c r="D38" s="1143"/>
      <c r="E38" s="1143"/>
      <c r="F38" s="1143"/>
      <c r="G38" s="1166"/>
      <c r="H38" s="54"/>
      <c r="I38" s="54"/>
      <c r="J38" s="54"/>
      <c r="K38" s="54"/>
    </row>
    <row r="39" spans="1:11" ht="12.75">
      <c r="A39" s="1142" t="s">
        <v>40</v>
      </c>
      <c r="B39" s="1143"/>
      <c r="C39" s="1143"/>
      <c r="D39" s="1143"/>
      <c r="E39" s="1143"/>
      <c r="F39" s="1143"/>
      <c r="G39" s="497">
        <f>G37</f>
        <v>97.70039999999999</v>
      </c>
      <c r="H39" s="54"/>
      <c r="I39" s="54"/>
      <c r="J39" s="54"/>
      <c r="K39" s="54"/>
    </row>
    <row r="40" spans="1:11" ht="12.75">
      <c r="A40" s="1142"/>
      <c r="B40" s="1143"/>
      <c r="C40" s="1143"/>
      <c r="D40" s="1143"/>
      <c r="E40" s="1143"/>
      <c r="F40" s="1143"/>
      <c r="G40" s="1166"/>
      <c r="H40" s="54"/>
      <c r="I40" s="54"/>
      <c r="J40" s="54"/>
      <c r="K40" s="54"/>
    </row>
    <row r="41" spans="1:11" ht="12.75">
      <c r="A41" s="1142"/>
      <c r="B41" s="1143"/>
      <c r="C41" s="1143"/>
      <c r="D41" s="1143"/>
      <c r="E41" s="1143"/>
      <c r="F41" s="1143"/>
      <c r="G41" s="1166"/>
      <c r="H41" s="54"/>
      <c r="I41" s="54"/>
      <c r="J41" s="54"/>
      <c r="K41" s="54"/>
    </row>
    <row r="42" spans="1:11" ht="12.75">
      <c r="A42" s="1142" t="s">
        <v>41</v>
      </c>
      <c r="B42" s="1143"/>
      <c r="C42" s="1143"/>
      <c r="D42" s="1143"/>
      <c r="E42" s="1143"/>
      <c r="F42" s="1143"/>
      <c r="G42" s="499">
        <f>G39+G32+G24</f>
        <v>721.47398</v>
      </c>
      <c r="H42" s="54"/>
      <c r="I42" s="54"/>
      <c r="J42" s="54"/>
      <c r="K42" s="54"/>
    </row>
    <row r="43" spans="1:11" ht="12.75">
      <c r="A43" s="1142"/>
      <c r="B43" s="1143"/>
      <c r="C43" s="1143"/>
      <c r="D43" s="1143"/>
      <c r="E43" s="1143"/>
      <c r="F43" s="1143"/>
      <c r="G43" s="1166"/>
      <c r="H43" s="54"/>
      <c r="I43" s="54"/>
      <c r="J43" s="54"/>
      <c r="K43" s="54"/>
    </row>
    <row r="44" spans="1:11" ht="12.75">
      <c r="A44" s="1142" t="s">
        <v>42</v>
      </c>
      <c r="B44" s="1143"/>
      <c r="C44" s="1143"/>
      <c r="D44" s="1143"/>
      <c r="E44" s="1143"/>
      <c r="F44" s="572">
        <f>'dados de entrada'!B10</f>
        <v>0.2373</v>
      </c>
      <c r="G44" s="497">
        <f>G42*F44</f>
        <v>171.205775454</v>
      </c>
      <c r="H44" s="307" t="s">
        <v>229</v>
      </c>
      <c r="I44" s="54"/>
      <c r="J44" s="54"/>
      <c r="K44" s="54"/>
    </row>
    <row r="45" spans="1:11" ht="12.75">
      <c r="A45" s="1142"/>
      <c r="B45" s="1143"/>
      <c r="C45" s="1143"/>
      <c r="D45" s="1143"/>
      <c r="E45" s="1143"/>
      <c r="F45" s="1143"/>
      <c r="G45" s="1166"/>
      <c r="H45" s="54"/>
      <c r="I45" s="54"/>
      <c r="J45" s="54"/>
      <c r="K45" s="54"/>
    </row>
    <row r="46" spans="1:11" ht="12.75">
      <c r="A46" s="1142" t="s">
        <v>43</v>
      </c>
      <c r="B46" s="1143"/>
      <c r="C46" s="1143"/>
      <c r="D46" s="1143"/>
      <c r="E46" s="1143"/>
      <c r="F46" s="1143"/>
      <c r="G46" s="499">
        <f>G42+G44</f>
        <v>892.679755454</v>
      </c>
      <c r="H46" s="54"/>
      <c r="I46" s="54"/>
      <c r="J46" s="54"/>
      <c r="K46" s="54"/>
    </row>
    <row r="47" spans="1:7" ht="13.5" thickBot="1">
      <c r="A47" s="1172"/>
      <c r="B47" s="1173"/>
      <c r="C47" s="1173"/>
      <c r="D47" s="1173"/>
      <c r="E47" s="1173"/>
      <c r="F47" s="1173"/>
      <c r="G47" s="1174"/>
    </row>
  </sheetData>
  <sheetProtection/>
  <mergeCells count="36">
    <mergeCell ref="A44:E44"/>
    <mergeCell ref="A45:G45"/>
    <mergeCell ref="A46:F46"/>
    <mergeCell ref="A47:G47"/>
    <mergeCell ref="A37:F37"/>
    <mergeCell ref="A38:G38"/>
    <mergeCell ref="A39:F39"/>
    <mergeCell ref="A40:G41"/>
    <mergeCell ref="A42:F42"/>
    <mergeCell ref="A43:G43"/>
    <mergeCell ref="A24:F24"/>
    <mergeCell ref="A25:G25"/>
    <mergeCell ref="B26:C26"/>
    <mergeCell ref="A32:F32"/>
    <mergeCell ref="A33:G33"/>
    <mergeCell ref="B34:C34"/>
    <mergeCell ref="B17:B20"/>
    <mergeCell ref="I17:J17"/>
    <mergeCell ref="I18:J18"/>
    <mergeCell ref="B21:B23"/>
    <mergeCell ref="I21:J21"/>
    <mergeCell ref="I22:J22"/>
    <mergeCell ref="A9:G9"/>
    <mergeCell ref="I9:J9"/>
    <mergeCell ref="B10:C10"/>
    <mergeCell ref="I10:J10"/>
    <mergeCell ref="B11:B16"/>
    <mergeCell ref="I11:J11"/>
    <mergeCell ref="I16:J16"/>
    <mergeCell ref="E1:G1"/>
    <mergeCell ref="A5:G5"/>
    <mergeCell ref="A6:G6"/>
    <mergeCell ref="A7:D7"/>
    <mergeCell ref="E7:F7"/>
    <mergeCell ref="A8:D8"/>
    <mergeCell ref="E8:F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Amfri</dc:creator>
  <cp:keywords/>
  <dc:description/>
  <cp:lastModifiedBy>Carlos Alberto Bley</cp:lastModifiedBy>
  <cp:lastPrinted>2014-04-14T13:55:56Z</cp:lastPrinted>
  <dcterms:created xsi:type="dcterms:W3CDTF">2004-02-08T00:22:30Z</dcterms:created>
  <dcterms:modified xsi:type="dcterms:W3CDTF">2014-04-14T14:07:20Z</dcterms:modified>
  <cp:category/>
  <cp:version/>
  <cp:contentType/>
  <cp:contentStatus/>
</cp:coreProperties>
</file>