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activeTab="3"/>
  </bookViews>
  <sheets>
    <sheet name="dados de entrada" sheetId="1" r:id="rId1"/>
    <sheet name="Drenagem" sheetId="2" r:id="rId2"/>
    <sheet name="Escavação" sheetId="3" r:id="rId3"/>
    <sheet name="MEMORIAL" sheetId="4" r:id="rId4"/>
    <sheet name="ORÇ" sheetId="5" r:id="rId5"/>
    <sheet name="CROFF" sheetId="6" r:id="rId6"/>
    <sheet name="PV Ø40 e Ø 60" sheetId="7" r:id="rId7"/>
    <sheet name="CL Ø40 e Ø 60" sheetId="8" r:id="rId8"/>
    <sheet name="PAVER" sheetId="9" r:id="rId9"/>
    <sheet name="TATIL" sheetId="10" r:id="rId10"/>
    <sheet name="BDI 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xlfn.AVERAGEIF" hidden="1">#NAME?</definedName>
    <definedName name="_xlfn.SUMIFS" hidden="1">#NAME?</definedName>
    <definedName name="_xlnm.Print_Area" localSheetId="10">'BDI '!$A$1:$K$33</definedName>
    <definedName name="_xlnm.Print_Area" localSheetId="7">'CL Ø40 e Ø 60'!$A$1:$F$48</definedName>
    <definedName name="_xlnm.Print_Area" localSheetId="5">'CROFF'!$A$1:$J$78</definedName>
    <definedName name="_xlnm.Print_Area" localSheetId="1">'Drenagem'!$A$1:$M$32</definedName>
    <definedName name="_xlnm.Print_Area" localSheetId="2">'Escavação'!$A$1:$W$49</definedName>
    <definedName name="_xlnm.Print_Area" localSheetId="3">'MEMORIAL'!$A$1:$F$77</definedName>
    <definedName name="_xlnm.Print_Area" localSheetId="4">'ORÇ'!$A$1:$H$76</definedName>
    <definedName name="_xlnm.Print_Area" localSheetId="8">'PAVER'!$A$1:$F$46</definedName>
    <definedName name="_xlnm.Print_Area" localSheetId="6">'PV Ø40 e Ø 60'!$A$1:$F$48</definedName>
    <definedName name="_xlnm.Print_Area" localSheetId="9">'TATIL'!$A$1:$F$48</definedName>
  </definedNames>
  <calcPr fullCalcOnLoad="1"/>
</workbook>
</file>

<file path=xl/sharedStrings.xml><?xml version="1.0" encoding="utf-8"?>
<sst xmlns="http://schemas.openxmlformats.org/spreadsheetml/2006/main" count="906" uniqueCount="463">
  <si>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</si>
  <si>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</si>
  <si>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</si>
  <si>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</si>
  <si>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</si>
  <si>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</si>
  <si>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</si>
  <si>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</si>
  <si>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</si>
  <si>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</si>
  <si>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</si>
  <si>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</si>
  <si>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</si>
  <si>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</si>
  <si>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</si>
  <si>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</si>
  <si>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</si>
  <si>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PERÍODO (MÊS)</t>
  </si>
  <si>
    <t>PROJETO:</t>
  </si>
  <si>
    <t>EQUIPAMENTO</t>
  </si>
  <si>
    <t>CARACTERÍSTICAS:</t>
  </si>
  <si>
    <t>_________________________________</t>
  </si>
  <si>
    <t>1.0</t>
  </si>
  <si>
    <t>PREÇOS DE INSUMOS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</si>
  <si>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</si>
  <si>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</si>
  <si>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</si>
  <si>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</si>
  <si>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</si>
  <si>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</si>
  <si>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</si>
  <si>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</si>
  <si>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</si>
  <si>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</si>
  <si>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</si>
  <si>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</si>
  <si>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</si>
  <si>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</si>
  <si>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</si>
  <si>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</si>
  <si>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</si>
  <si>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</si>
  <si>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</si>
  <si>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</si>
  <si>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</si>
  <si>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</si>
  <si>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</si>
  <si>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</si>
  <si>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</si>
  <si>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</si>
  <si>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</si>
  <si>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</si>
  <si>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</si>
  <si>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</si>
  <si>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</si>
  <si>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</si>
  <si>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</si>
  <si>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</si>
  <si>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3.0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</si>
  <si>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</si>
  <si>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</si>
  <si>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</si>
  <si>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</si>
  <si>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</si>
  <si>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</si>
  <si>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</si>
  <si>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</si>
  <si>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</si>
  <si>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</si>
  <si>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</si>
  <si>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</si>
  <si>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</si>
  <si>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</si>
  <si>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</si>
  <si>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</si>
  <si>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</si>
  <si>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</si>
  <si>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</si>
  <si>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</si>
  <si>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</si>
  <si>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</si>
  <si>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</si>
  <si>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</si>
  <si>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</si>
  <si>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</si>
  <si>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</si>
  <si>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</si>
  <si>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</si>
  <si>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</si>
  <si>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</si>
  <si>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</si>
  <si>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</si>
  <si>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</si>
  <si>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</si>
  <si>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</si>
  <si>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</si>
  <si>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</si>
  <si>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</si>
  <si>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</si>
  <si>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</si>
  <si>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</si>
  <si>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</si>
  <si>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</si>
  <si>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</si>
  <si>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</si>
  <si>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</si>
  <si>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</si>
  <si>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</si>
  <si>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</si>
  <si>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</si>
  <si>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</si>
  <si>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</si>
  <si>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</si>
  <si>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</si>
  <si>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</si>
  <si>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</si>
  <si>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</si>
  <si>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</si>
  <si>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</si>
  <si>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</si>
  <si>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</si>
  <si>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</si>
  <si>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</si>
  <si>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</si>
  <si>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</si>
  <si>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</si>
  <si>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</si>
  <si>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</si>
  <si>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</si>
  <si>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</si>
  <si>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</si>
  <si>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</si>
  <si>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</si>
  <si>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</si>
  <si>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</si>
  <si>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</si>
  <si>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</si>
  <si>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</si>
  <si>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</si>
  <si>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</si>
  <si>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</si>
  <si>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</si>
  <si>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</si>
  <si>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</si>
  <si>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</si>
  <si>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</si>
  <si>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</si>
  <si>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</si>
  <si>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</si>
  <si>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</si>
  <si>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</si>
  <si>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>CUSTO SERVIÇO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</si>
  <si>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</si>
  <si>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</si>
  <si>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</si>
  <si>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</si>
  <si>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</si>
  <si>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</si>
  <si>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</si>
  <si>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</si>
  <si>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</si>
  <si>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</si>
  <si>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</si>
  <si>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</si>
  <si>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</si>
  <si>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2.0</t>
  </si>
  <si>
    <t>1.2</t>
  </si>
  <si>
    <t>LDI</t>
  </si>
  <si>
    <t>AC</t>
  </si>
  <si>
    <t>DF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</si>
  <si>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</si>
  <si>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</si>
  <si>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</si>
  <si>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</si>
  <si>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</si>
  <si>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</si>
  <si>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</si>
  <si>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</si>
  <si>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</si>
  <si>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</si>
  <si>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Despesas Financeiros</t>
  </si>
  <si>
    <t>Despesas financeiras</t>
  </si>
  <si>
    <t>Risco</t>
  </si>
  <si>
    <t>Encargos Fiscais</t>
  </si>
  <si>
    <t>Tributos</t>
  </si>
  <si>
    <t>Lucro Planejado</t>
  </si>
  <si>
    <t>Lucro calculado e planejado</t>
  </si>
  <si>
    <t xml:space="preserve">Total apurado dos Benefícios e Despesas indiretas  </t>
  </si>
  <si>
    <t>AMFRI  Associação dos Municípios da Região da Foz do Rio Itajaí</t>
  </si>
  <si>
    <t>CREA SC  050968-0</t>
  </si>
  <si>
    <t>___________________________</t>
  </si>
  <si>
    <t>Conforme Projeto</t>
  </si>
  <si>
    <t xml:space="preserve">Carlos Alberto Bley  </t>
  </si>
  <si>
    <t>74164/004</t>
  </si>
  <si>
    <t>2.6</t>
  </si>
  <si>
    <t>2.7</t>
  </si>
  <si>
    <t>LOCALIZAÇÃO:</t>
  </si>
  <si>
    <t>MATERIAL E MÃO DE OBRA</t>
  </si>
  <si>
    <t>CUSTO UNIT</t>
  </si>
  <si>
    <t>TOTAIS (R$)</t>
  </si>
  <si>
    <t>PROJETO</t>
  </si>
  <si>
    <t>____________________________________________________________</t>
  </si>
  <si>
    <t>_________________________________________</t>
  </si>
  <si>
    <t>TOTAIS</t>
  </si>
  <si>
    <t>PRIMEIRO MÊS</t>
  </si>
  <si>
    <t>SEGUNDO MÊS</t>
  </si>
  <si>
    <t>TOTAL DO MÊS (R$)</t>
  </si>
  <si>
    <t>TOTAL ACUMULADO (R$)</t>
  </si>
  <si>
    <t>TOTAL DO MÊS (%)</t>
  </si>
  <si>
    <t>TOTAL ACUMULADO (%)</t>
  </si>
  <si>
    <t>CREA SC 050968-0</t>
  </si>
  <si>
    <t>____________________________________________________</t>
  </si>
  <si>
    <t>_______________________________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</si>
  <si>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</si>
  <si>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</si>
  <si>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</si>
  <si>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</si>
  <si>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72920</t>
  </si>
  <si>
    <t>m²</t>
  </si>
  <si>
    <t>tijolos</t>
  </si>
  <si>
    <t>h</t>
  </si>
  <si>
    <t>Reaterro de vala com material granular reaproveitado adensado e vibrado</t>
  </si>
  <si>
    <t>Regularização e compactação de até 20 cm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</si>
  <si>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</si>
  <si>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</si>
  <si>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</si>
  <si>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</si>
  <si>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</si>
  <si>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</si>
  <si>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</si>
  <si>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</si>
  <si>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</si>
  <si>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</si>
  <si>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</si>
  <si>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</si>
  <si>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</si>
  <si>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</si>
  <si>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</si>
  <si>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</si>
  <si>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</si>
  <si>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</si>
  <si>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</si>
  <si>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</si>
  <si>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</si>
  <si>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</si>
  <si>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</si>
  <si>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</si>
  <si>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</si>
  <si>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</si>
  <si>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</si>
  <si>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</si>
  <si>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</si>
  <si>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</si>
  <si>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</si>
  <si>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</si>
  <si>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</si>
  <si>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</si>
  <si>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</si>
  <si>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</si>
  <si>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</si>
  <si>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</si>
  <si>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</si>
  <si>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</si>
  <si>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</si>
  <si>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</si>
  <si>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</si>
  <si>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</si>
  <si>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</si>
  <si>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</si>
  <si>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</si>
  <si>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</si>
  <si>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</si>
  <si>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</si>
  <si>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</si>
  <si>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</si>
  <si>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</si>
  <si>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</si>
  <si>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</si>
  <si>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</si>
  <si>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</si>
  <si>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</si>
  <si>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</si>
  <si>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</si>
  <si>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</si>
  <si>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</si>
  <si>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</si>
  <si>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</si>
  <si>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</si>
  <si>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</si>
  <si>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</si>
  <si>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BOCA DE BUEIRO TRIPLO Ø 40 cm</t>
  </si>
  <si>
    <t>TERCEIRO MÊS</t>
  </si>
  <si>
    <t>Memorial de Cálculo</t>
  </si>
  <si>
    <t>Folha 01/01</t>
  </si>
  <si>
    <t>BDI =</t>
  </si>
  <si>
    <t>Orçamento Estimativo</t>
  </si>
  <si>
    <t>Cronograma Físico-Financeiro</t>
  </si>
  <si>
    <t xml:space="preserve">Engenheiro Civil - CREA SC </t>
  </si>
  <si>
    <t>2.8</t>
  </si>
  <si>
    <t>2.9</t>
  </si>
  <si>
    <t>2.10</t>
  </si>
  <si>
    <t>4.0</t>
  </si>
  <si>
    <t>SINALIZAÇÃO</t>
  </si>
  <si>
    <t>4.2</t>
  </si>
  <si>
    <t>2.11</t>
  </si>
  <si>
    <t>BOCA DE BUEIRO Ø 150 cm</t>
  </si>
  <si>
    <t>2.12</t>
  </si>
  <si>
    <t>3.2</t>
  </si>
  <si>
    <t>3.3</t>
  </si>
  <si>
    <t>3.4</t>
  </si>
  <si>
    <t>3.5</t>
  </si>
  <si>
    <t>Placa regulamentadora R-1 - (Parada obrigatória)</t>
  </si>
  <si>
    <t>Placa de Identificação de rua</t>
  </si>
  <si>
    <t>Conforme projeto</t>
  </si>
  <si>
    <t>Tampa em concreto armado, virado em betoneira, fck=20 MPa (1,20 m x 1,20 m x 0,15 m)</t>
  </si>
  <si>
    <t>Leonel José Martins</t>
  </si>
  <si>
    <t>Carga mecanizada e remoção de escedentes com transporte até 1 km</t>
  </si>
  <si>
    <t>3.6</t>
  </si>
  <si>
    <t xml:space="preserve"> Cálculo de Drenagem                                 Folha 01/01</t>
  </si>
  <si>
    <t>CL 1</t>
  </si>
  <si>
    <r>
      <t xml:space="preserve">Intensidade da chuva: </t>
    </r>
    <r>
      <rPr>
        <b/>
        <sz val="10"/>
        <rFont val="Arial"/>
        <family val="2"/>
      </rPr>
      <t>i = 84,92 mm/h</t>
    </r>
  </si>
  <si>
    <t>Ø 30</t>
  </si>
  <si>
    <t>Ø 40</t>
  </si>
  <si>
    <t>DEINFRA - 81201</t>
  </si>
  <si>
    <t>Escavação mec. de valas em qualquer tipo de solo, 0,00 a 4,00 m</t>
  </si>
  <si>
    <t>73881/001</t>
  </si>
  <si>
    <t>POÇO DE VISITA Ø 40/60 cm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</si>
  <si>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</si>
  <si>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</si>
  <si>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</si>
  <si>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</si>
  <si>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</si>
  <si>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Tampão fofo articulado diâmetro 600 mm para poço de visita</t>
  </si>
  <si>
    <t>FÓRMULA = SOMA DE TODOS OS LADOS DO PV*ALRURA MÉDIA DOS PVS*HORA DE SERVENTE POR M²</t>
  </si>
  <si>
    <t>FÓRMULA = SOMA DE TODOS OS LADOS DO PV*ALRURA MÉDIA DOS PVS*HORA DE PEDREIRO POR M²</t>
  </si>
  <si>
    <t>CAIXA DE LIGAÇÃO Ø 40/60 cm</t>
  </si>
  <si>
    <t xml:space="preserve">BDI = </t>
  </si>
  <si>
    <t xml:space="preserve">RUA </t>
  </si>
  <si>
    <t>Boca de lobo</t>
  </si>
  <si>
    <t>RUA VEREADOR JOSÉ JOÃO DA SILVA</t>
  </si>
  <si>
    <t>CL 2</t>
  </si>
  <si>
    <t>Ø 60</t>
  </si>
  <si>
    <t>2.13</t>
  </si>
  <si>
    <t>BOMBINHAS</t>
  </si>
  <si>
    <t>Ana Paula da Silva</t>
  </si>
  <si>
    <t>PREFEITA MUNICIPAL</t>
  </si>
  <si>
    <t>Prefeita Municipal</t>
  </si>
  <si>
    <t>QUATRO ILHAS</t>
  </si>
  <si>
    <t>PVE</t>
  </si>
  <si>
    <t>CL3</t>
  </si>
  <si>
    <t>CL4</t>
  </si>
  <si>
    <t>CL5</t>
  </si>
  <si>
    <t>CL6</t>
  </si>
  <si>
    <t>2.14</t>
  </si>
  <si>
    <t>83769</t>
  </si>
  <si>
    <t>PAVIMENTAÇÃO ASFÁLTICA</t>
  </si>
  <si>
    <t>Base de camada de brita graduada - h=15 cm</t>
  </si>
  <si>
    <t>Imprimação com CM-30 - 1,2 l/m2</t>
  </si>
  <si>
    <t>Pintura de ligação RR-2C  - 1,0 a 1,20 l/m2</t>
  </si>
  <si>
    <t>Camada de CAUQ - esp=5,0cm</t>
  </si>
  <si>
    <t>ton</t>
  </si>
  <si>
    <t>Poço de visita  Ø 40/60 cm - simples</t>
  </si>
  <si>
    <t xml:space="preserve">Caixa de ligação Ø 40/60 cm - simples </t>
  </si>
  <si>
    <t>COMPOSIÇÃO</t>
  </si>
  <si>
    <t>PAVIMENTAÇÃO ASFÁLTICA E DRENAGEM PLUVIAL</t>
  </si>
  <si>
    <t>Agosto/2013                  PLANILHA DE COMPOSIÇÃO DO BDI                  Folha 01/01</t>
  </si>
  <si>
    <t>Pintura faixa de travessia de pedestres zebrada - FTP-1 cor branca</t>
  </si>
  <si>
    <t>4.3</t>
  </si>
  <si>
    <t>4.4</t>
  </si>
  <si>
    <t>4.5</t>
  </si>
  <si>
    <t>Pintura da linha de bordo - LBO cor branca</t>
  </si>
  <si>
    <t>Pintura da linha simples contínua - LFO-1 cor amarela</t>
  </si>
  <si>
    <t xml:space="preserve">ILHA DE MARAJÓ - </t>
  </si>
  <si>
    <t>Placa de advertência A-32b - (Passagem sinalizada de pedestres)</t>
  </si>
  <si>
    <t>4.6</t>
  </si>
  <si>
    <t>DEINFRA - 81017</t>
  </si>
  <si>
    <t xml:space="preserve">ART = </t>
  </si>
  <si>
    <t xml:space="preserve">ART </t>
  </si>
  <si>
    <t>4.812.441-0</t>
  </si>
  <si>
    <t>ART =</t>
  </si>
  <si>
    <t>3,80% - 4,67%</t>
  </si>
  <si>
    <t>0,32% - 0,74%</t>
  </si>
  <si>
    <t>Seguro e Garantia</t>
  </si>
  <si>
    <t>0,50% - 0,97%</t>
  </si>
  <si>
    <t>1,02% - 1,21%</t>
  </si>
  <si>
    <t>6,64% - 8,69%</t>
  </si>
  <si>
    <t>2.152,00 m2 x 0,15 m</t>
  </si>
  <si>
    <t>2.152,00 m2 x 0,05 m x 2,4 t/m3</t>
  </si>
  <si>
    <t>PAVIMENTAÇÃO PASSEIO</t>
  </si>
  <si>
    <t>Meio-fio interno 15 x 30 x 80 cm - incluindo rejunte e reaterro - fck=25 MPa</t>
  </si>
  <si>
    <t>Pavimento intertravado paver holand cinza 20 x 10 x 6 cm fck=35 MPa</t>
  </si>
  <si>
    <t>Sinalização tátil direcional 20 x 20 x 6 cm fck=35 MPa</t>
  </si>
  <si>
    <t>Sinalização tátil de alerta 20 x 20 x 6 cm fck=35 MPa</t>
  </si>
  <si>
    <t>5.0</t>
  </si>
  <si>
    <t>RAMPA ACESSO PASSEIO DEFICIENTE FÍSICO</t>
  </si>
  <si>
    <t>5.1</t>
  </si>
  <si>
    <t>Concreto simples h=7 cm, virado em betoneira fck=20 MPa</t>
  </si>
  <si>
    <t>5.2</t>
  </si>
  <si>
    <t>Pintura símbolo Deficiente Físico - Cor fundo azul 60 x 60 cm</t>
  </si>
  <si>
    <t>5.3</t>
  </si>
  <si>
    <t>Pintura símbolo Deficiente Físico - Pictograma cor branca</t>
  </si>
  <si>
    <t>6.0</t>
  </si>
  <si>
    <t>6.1</t>
  </si>
  <si>
    <t>6.2</t>
  </si>
  <si>
    <t>PAVER</t>
  </si>
  <si>
    <t>ALTURA CAIXA DE LIGAÇÃO =</t>
  </si>
  <si>
    <t>Servente</t>
  </si>
  <si>
    <t>TATIL</t>
  </si>
  <si>
    <t>Assentamento de tubos de concreto diametro de 30 cm., armado ou simples</t>
  </si>
  <si>
    <t>Tubo de concreto simples classe - PS2 - NBR-8890 de Ø 30 cm, para águas pluviais</t>
  </si>
  <si>
    <t>Assentamento de tubos de concreto diametro de 40 cm., armado ou simples</t>
  </si>
  <si>
    <t>Tubo de concreto armado classe - PA2 PB NBR-8890/2007 de Ø 40 cm, para águas pluviais</t>
  </si>
  <si>
    <t>Assentamento de tubos de concreto diametro de 60 cm., armado ou simples</t>
  </si>
  <si>
    <t>Tubo de concreto armado classe - PA2 PB NBR-8890/2007 de Ø 60 cm, para águas pluviais</t>
  </si>
  <si>
    <t>2.15</t>
  </si>
  <si>
    <t>2.16</t>
  </si>
  <si>
    <t>2.17</t>
  </si>
  <si>
    <t>CÓD. SINAPI - Jan./2014</t>
  </si>
  <si>
    <t>PIS</t>
  </si>
  <si>
    <t>COFINS</t>
  </si>
  <si>
    <t>ISS</t>
  </si>
  <si>
    <t>Escoramento -  Pontaleteamento = dit. entre PVS ou CLs x Hmédia x 2,00 lados da vala</t>
  </si>
  <si>
    <t>Fornecimento e colocação de manta geotextil 200 g/m2, largura = 30 cm = ((comprimento da circunferencia do tubo + 30,00 cm) x 30 cm) x comprimento da tubulação</t>
  </si>
  <si>
    <t>Material para aterro/reaterro (barro, argila ou saibro) - com transporte até 10 km</t>
  </si>
  <si>
    <t>Regularização e compactação manual de terreno com soquete</t>
  </si>
  <si>
    <t>xxxx</t>
  </si>
  <si>
    <t>Embasamento de material granular - pó de pedra h = 6 cm</t>
  </si>
  <si>
    <t>73817/001</t>
  </si>
  <si>
    <t>Sarjeta triangular de concreto STC 02</t>
  </si>
  <si>
    <t>2 S 04 900 02</t>
  </si>
  <si>
    <t>Caixa coletora de sarjeta CCS 01</t>
  </si>
  <si>
    <t>2 S 04 930 01</t>
  </si>
  <si>
    <t>SINAPI/SICRO</t>
  </si>
  <si>
    <t>As leis sociais utilizadas para composição dos serviços são as mesmas do SINAPI</t>
  </si>
  <si>
    <t>Fornecimento e colocação de manta geotextil 200 g/m2</t>
  </si>
  <si>
    <t>Fornecimento e colocação de manta geotêxtil 200 g/m²</t>
  </si>
  <si>
    <t>I=</t>
  </si>
  <si>
    <r>
      <t xml:space="preserve">BDI = </t>
    </r>
    <r>
      <rPr>
        <b/>
        <u val="single"/>
        <sz val="10"/>
        <rFont val="Arial"/>
        <family val="2"/>
      </rPr>
      <t>(1 + AC + S + R + G) (1 + DF) (1 + L)</t>
    </r>
    <r>
      <rPr>
        <b/>
        <sz val="10"/>
        <rFont val="Arial"/>
        <family val="2"/>
      </rPr>
      <t xml:space="preserve"> – 1</t>
    </r>
  </si>
  <si>
    <t>                              ( 1 - I )</t>
  </si>
  <si>
    <t>SINAPI - 01/01/2014 - COM DESONERAÇÃO - SICRO JAN. 2014</t>
  </si>
  <si>
    <t>R + S + G</t>
  </si>
  <si>
    <t>R+S+G</t>
  </si>
  <si>
    <t>Colocação de meio-fio externo (12x15x30x80) - incluindo rejunte e reaterro - fck=25MPa</t>
  </si>
  <si>
    <t>34,80 m² x 0,07 m =</t>
  </si>
  <si>
    <t>0,60 x 0,60 m x 6,00 und =</t>
  </si>
  <si>
    <t>0,0390 m² x 6,00 und =</t>
  </si>
  <si>
    <t>543,40 m² x 0,05 m =</t>
  </si>
  <si>
    <t>FAIXA ELEVADA DE TRAVESSIA DE PEDESTRE</t>
  </si>
  <si>
    <t xml:space="preserve">Pintura de ligação n°1 RR-2C </t>
  </si>
  <si>
    <t>Camada  final com CAUQ</t>
  </si>
  <si>
    <t>7,00 m x 7,00 m = 49,00 m2</t>
  </si>
  <si>
    <t>(0,90 m² x 7,00 m) x 2,4 t/m3 =</t>
  </si>
  <si>
    <t>7.0</t>
  </si>
  <si>
    <t>7.1</t>
  </si>
  <si>
    <t>7.2</t>
  </si>
  <si>
    <t>7.3</t>
  </si>
  <si>
    <t>7.4</t>
  </si>
  <si>
    <t>7.5</t>
  </si>
  <si>
    <t>7.6</t>
  </si>
  <si>
    <t>318,00 m x 0,12 m =</t>
  </si>
  <si>
    <t>617,00 m x 0,12 m =</t>
  </si>
  <si>
    <t>7.7</t>
  </si>
  <si>
    <t>Placa de advertência EA-2 - (Especial de advertência Indicativa de travessia elevada de pedestres)</t>
  </si>
</sst>
</file>

<file path=xl/styles.xml><?xml version="1.0" encoding="utf-8"?>
<styleSheet xmlns="http://schemas.openxmlformats.org/spreadsheetml/2006/main">
  <numFmts count="5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0.0000%"/>
  </numFmts>
  <fonts count="80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b/>
      <sz val="18"/>
      <color indexed="12"/>
      <name val="Arial"/>
      <family val="2"/>
    </font>
    <font>
      <sz val="12"/>
      <color indexed="48"/>
      <name val="Arial"/>
      <family val="2"/>
    </font>
    <font>
      <sz val="10"/>
      <color indexed="13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</cellStyleXfs>
  <cellXfs count="1095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171" fontId="4" fillId="0" borderId="0" xfId="65" applyFont="1" applyFill="1" applyBorder="1" applyAlignment="1">
      <alignment/>
    </xf>
    <xf numFmtId="171" fontId="2" fillId="0" borderId="0" xfId="65" applyFont="1" applyFill="1" applyBorder="1" applyAlignment="1">
      <alignment/>
    </xf>
    <xf numFmtId="0" fontId="17" fillId="0" borderId="0" xfId="53">
      <alignment/>
      <protection/>
    </xf>
    <xf numFmtId="0" fontId="4" fillId="0" borderId="12" xfId="56" applyFont="1" applyBorder="1" applyAlignment="1">
      <alignment/>
      <protection/>
    </xf>
    <xf numFmtId="0" fontId="5" fillId="0" borderId="13" xfId="56" applyFont="1" applyBorder="1" applyAlignment="1">
      <alignment/>
      <protection/>
    </xf>
    <xf numFmtId="0" fontId="3" fillId="0" borderId="13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/>
      <protection/>
    </xf>
    <xf numFmtId="0" fontId="18" fillId="0" borderId="19" xfId="53" applyFont="1" applyFill="1" applyBorder="1" applyAlignment="1">
      <alignment horizontal="center" vertical="center" wrapText="1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1" xfId="53" applyNumberFormat="1" applyFill="1" applyBorder="1">
      <alignment/>
      <protection/>
    </xf>
    <xf numFmtId="2" fontId="17" fillId="0" borderId="18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2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7" xfId="53" applyNumberFormat="1" applyFont="1" applyBorder="1">
      <alignment/>
      <protection/>
    </xf>
    <xf numFmtId="0" fontId="17" fillId="0" borderId="28" xfId="53" applyBorder="1" applyAlignment="1">
      <alignment horizontal="center"/>
      <protection/>
    </xf>
    <xf numFmtId="2" fontId="30" fillId="0" borderId="29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29" xfId="0" applyFont="1" applyFill="1" applyBorder="1" applyAlignment="1">
      <alignment/>
    </xf>
    <xf numFmtId="181" fontId="0" fillId="34" borderId="29" xfId="0" applyNumberFormat="1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29" xfId="0" applyFont="1" applyFill="1" applyBorder="1" applyAlignment="1">
      <alignment/>
    </xf>
    <xf numFmtId="171" fontId="15" fillId="0" borderId="0" xfId="65" applyFont="1" applyFill="1" applyBorder="1" applyAlignment="1">
      <alignment/>
    </xf>
    <xf numFmtId="2" fontId="33" fillId="33" borderId="29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29" xfId="57" applyNumberFormat="1" applyFont="1" applyFill="1" applyBorder="1">
      <alignment/>
      <protection/>
    </xf>
    <xf numFmtId="2" fontId="33" fillId="33" borderId="27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179" fontId="33" fillId="33" borderId="29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2" fontId="33" fillId="33" borderId="28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3" xfId="5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4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3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2" fontId="0" fillId="0" borderId="0" xfId="0" applyNumberFormat="1" applyAlignment="1">
      <alignment/>
    </xf>
    <xf numFmtId="0" fontId="12" fillId="0" borderId="34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1" fontId="13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0" fontId="10" fillId="0" borderId="28" xfId="59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0" fontId="1" fillId="0" borderId="30" xfId="59" applyNumberFormat="1" applyFont="1" applyBorder="1" applyAlignment="1">
      <alignment horizontal="center"/>
    </xf>
    <xf numFmtId="10" fontId="10" fillId="0" borderId="0" xfId="0" applyNumberFormat="1" applyFont="1" applyAlignment="1">
      <alignment/>
    </xf>
    <xf numFmtId="0" fontId="9" fillId="0" borderId="34" xfId="0" applyFont="1" applyBorder="1" applyAlignment="1">
      <alignment/>
    </xf>
    <xf numFmtId="0" fontId="0" fillId="0" borderId="0" xfId="0" applyBorder="1" applyAlignment="1">
      <alignment/>
    </xf>
    <xf numFmtId="0" fontId="12" fillId="0" borderId="34" xfId="0" applyFont="1" applyBorder="1" applyAlignment="1">
      <alignment/>
    </xf>
    <xf numFmtId="0" fontId="35" fillId="0" borderId="3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Alignment="1">
      <alignment/>
    </xf>
    <xf numFmtId="10" fontId="0" fillId="0" borderId="0" xfId="59" applyNumberFormat="1" applyFont="1" applyAlignment="1">
      <alignment horizontal="center"/>
    </xf>
    <xf numFmtId="10" fontId="1" fillId="0" borderId="36" xfId="59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0" fontId="9" fillId="0" borderId="38" xfId="0" applyFont="1" applyBorder="1" applyAlignment="1">
      <alignment horizontal="center"/>
    </xf>
    <xf numFmtId="2" fontId="30" fillId="0" borderId="29" xfId="53" applyNumberFormat="1" applyFont="1" applyFill="1" applyBorder="1">
      <alignment/>
      <protection/>
    </xf>
    <xf numFmtId="0" fontId="10" fillId="0" borderId="27" xfId="0" applyFont="1" applyBorder="1" applyAlignment="1">
      <alignment/>
    </xf>
    <xf numFmtId="4" fontId="10" fillId="0" borderId="28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185" fontId="2" fillId="0" borderId="13" xfId="56" applyNumberFormat="1" applyFont="1" applyBorder="1" applyAlignment="1">
      <alignment horizontal="center"/>
      <protection/>
    </xf>
    <xf numFmtId="2" fontId="17" fillId="0" borderId="0" xfId="53" applyNumberFormat="1">
      <alignment/>
      <protection/>
    </xf>
    <xf numFmtId="170" fontId="31" fillId="0" borderId="0" xfId="47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5" fillId="33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36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29" xfId="53" applyNumberFormat="1" applyFont="1" applyFill="1" applyBorder="1" applyAlignment="1">
      <alignment horizontal="right"/>
      <protection/>
    </xf>
    <xf numFmtId="2" fontId="33" fillId="33" borderId="27" xfId="53" applyNumberFormat="1" applyFont="1" applyFill="1" applyBorder="1" applyAlignment="1">
      <alignment horizontal="right"/>
      <protection/>
    </xf>
    <xf numFmtId="2" fontId="30" fillId="35" borderId="29" xfId="53" applyNumberFormat="1" applyFont="1" applyFill="1" applyBorder="1">
      <alignment/>
      <protection/>
    </xf>
    <xf numFmtId="2" fontId="30" fillId="36" borderId="29" xfId="53" applyNumberFormat="1" applyFont="1" applyFill="1" applyBorder="1">
      <alignment/>
      <protection/>
    </xf>
    <xf numFmtId="2" fontId="30" fillId="37" borderId="29" xfId="53" applyNumberFormat="1" applyFont="1" applyFill="1" applyBorder="1">
      <alignment/>
      <protection/>
    </xf>
    <xf numFmtId="2" fontId="30" fillId="38" borderId="29" xfId="53" applyNumberFormat="1" applyFont="1" applyFill="1" applyBorder="1">
      <alignment/>
      <protection/>
    </xf>
    <xf numFmtId="2" fontId="30" fillId="39" borderId="29" xfId="53" applyNumberFormat="1" applyFont="1" applyFill="1" applyBorder="1">
      <alignment/>
      <protection/>
    </xf>
    <xf numFmtId="2" fontId="30" fillId="40" borderId="29" xfId="53" applyNumberFormat="1" applyFont="1" applyFill="1" applyBorder="1">
      <alignment/>
      <protection/>
    </xf>
    <xf numFmtId="1" fontId="33" fillId="33" borderId="27" xfId="53" applyNumberFormat="1" applyFont="1" applyFill="1" applyBorder="1" applyAlignment="1">
      <alignment horizontal="center"/>
      <protection/>
    </xf>
    <xf numFmtId="1" fontId="33" fillId="33" borderId="29" xfId="53" applyNumberFormat="1" applyFont="1" applyFill="1" applyBorder="1" applyAlignment="1">
      <alignment horizontal="center"/>
      <protection/>
    </xf>
    <xf numFmtId="2" fontId="30" fillId="0" borderId="40" xfId="53" applyNumberFormat="1" applyFont="1" applyBorder="1">
      <alignment/>
      <protection/>
    </xf>
    <xf numFmtId="2" fontId="30" fillId="39" borderId="25" xfId="53" applyNumberFormat="1" applyFont="1" applyFill="1" applyBorder="1">
      <alignment/>
      <protection/>
    </xf>
    <xf numFmtId="179" fontId="33" fillId="33" borderId="27" xfId="53" applyNumberFormat="1" applyFont="1" applyFill="1" applyBorder="1" applyAlignment="1">
      <alignment horizontal="right"/>
      <protection/>
    </xf>
    <xf numFmtId="179" fontId="33" fillId="33" borderId="41" xfId="53" applyNumberFormat="1" applyFont="1" applyFill="1" applyBorder="1" applyAlignment="1">
      <alignment horizontal="right"/>
      <protection/>
    </xf>
    <xf numFmtId="0" fontId="17" fillId="35" borderId="28" xfId="53" applyFill="1" applyBorder="1" applyAlignment="1">
      <alignment horizontal="center"/>
      <protection/>
    </xf>
    <xf numFmtId="0" fontId="17" fillId="35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39" borderId="26" xfId="53" applyFill="1" applyBorder="1" applyAlignment="1">
      <alignment horizontal="center"/>
      <protection/>
    </xf>
    <xf numFmtId="2" fontId="30" fillId="39" borderId="40" xfId="53" applyNumberFormat="1" applyFont="1" applyFill="1" applyBorder="1">
      <alignment/>
      <protection/>
    </xf>
    <xf numFmtId="0" fontId="17" fillId="39" borderId="36" xfId="53" applyFill="1" applyBorder="1" applyAlignment="1">
      <alignment horizontal="center"/>
      <protection/>
    </xf>
    <xf numFmtId="0" fontId="2" fillId="0" borderId="42" xfId="0" applyFont="1" applyBorder="1" applyAlignment="1">
      <alignment horizontal="left"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4" fontId="30" fillId="35" borderId="27" xfId="53" applyNumberFormat="1" applyFont="1" applyFill="1" applyBorder="1">
      <alignment/>
      <protection/>
    </xf>
    <xf numFmtId="39" fontId="31" fillId="0" borderId="47" xfId="47" applyNumberFormat="1" applyFont="1" applyBorder="1" applyAlignment="1">
      <alignment/>
    </xf>
    <xf numFmtId="39" fontId="31" fillId="0" borderId="48" xfId="47" applyNumberFormat="1" applyFont="1" applyBorder="1" applyAlignment="1">
      <alignment/>
    </xf>
    <xf numFmtId="0" fontId="30" fillId="0" borderId="38" xfId="53" applyFont="1" applyBorder="1" applyAlignment="1">
      <alignment/>
      <protection/>
    </xf>
    <xf numFmtId="0" fontId="30" fillId="0" borderId="16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0" fontId="30" fillId="0" borderId="23" xfId="53" applyFont="1" applyBorder="1" applyAlignment="1">
      <alignment/>
      <protection/>
    </xf>
    <xf numFmtId="0" fontId="30" fillId="0" borderId="50" xfId="53" applyFont="1" applyBorder="1" applyAlignment="1">
      <alignment/>
      <protection/>
    </xf>
    <xf numFmtId="0" fontId="10" fillId="0" borderId="51" xfId="0" applyFont="1" applyBorder="1" applyAlignment="1">
      <alignment horizontal="center"/>
    </xf>
    <xf numFmtId="10" fontId="0" fillId="0" borderId="0" xfId="0" applyNumberFormat="1" applyAlignment="1">
      <alignment/>
    </xf>
    <xf numFmtId="0" fontId="12" fillId="0" borderId="35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52" xfId="0" applyFont="1" applyBorder="1" applyAlignment="1">
      <alignment/>
    </xf>
    <xf numFmtId="0" fontId="23" fillId="0" borderId="13" xfId="0" applyFont="1" applyBorder="1" applyAlignment="1">
      <alignment horizontal="center"/>
    </xf>
    <xf numFmtId="171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1" fontId="4" fillId="33" borderId="0" xfId="0" applyNumberFormat="1" applyFont="1" applyFill="1" applyBorder="1" applyAlignment="1">
      <alignment horizontal="right"/>
    </xf>
    <xf numFmtId="171" fontId="4" fillId="33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vertical="center" wrapText="1"/>
    </xf>
    <xf numFmtId="0" fontId="34" fillId="0" borderId="35" xfId="0" applyFont="1" applyBorder="1" applyAlignment="1">
      <alignment vertical="center" wrapText="1"/>
    </xf>
    <xf numFmtId="0" fontId="35" fillId="0" borderId="0" xfId="0" applyFont="1" applyBorder="1" applyAlignment="1">
      <alignment/>
    </xf>
    <xf numFmtId="0" fontId="35" fillId="0" borderId="35" xfId="0" applyFont="1" applyBorder="1" applyAlignment="1">
      <alignment/>
    </xf>
    <xf numFmtId="0" fontId="18" fillId="0" borderId="38" xfId="53" applyFont="1" applyFill="1" applyBorder="1" applyAlignment="1">
      <alignment horizontal="center" vertical="center"/>
      <protection/>
    </xf>
    <xf numFmtId="0" fontId="18" fillId="0" borderId="16" xfId="53" applyFont="1" applyFill="1" applyBorder="1" applyAlignment="1">
      <alignment horizontal="center" vertical="center"/>
      <protection/>
    </xf>
    <xf numFmtId="0" fontId="18" fillId="0" borderId="49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35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3" xfId="53" applyFont="1" applyBorder="1">
      <alignment/>
      <protection/>
    </xf>
    <xf numFmtId="0" fontId="30" fillId="0" borderId="50" xfId="53" applyFont="1" applyBorder="1">
      <alignment/>
      <protection/>
    </xf>
    <xf numFmtId="0" fontId="23" fillId="0" borderId="13" xfId="0" applyFont="1" applyBorder="1" applyAlignment="1">
      <alignment/>
    </xf>
    <xf numFmtId="0" fontId="21" fillId="41" borderId="0" xfId="0" applyFont="1" applyFill="1" applyBorder="1" applyAlignment="1">
      <alignment/>
    </xf>
    <xf numFmtId="0" fontId="0" fillId="41" borderId="0" xfId="0" applyFill="1" applyAlignment="1">
      <alignment/>
    </xf>
    <xf numFmtId="4" fontId="0" fillId="41" borderId="0" xfId="0" applyNumberFormat="1" applyFont="1" applyFill="1" applyAlignment="1">
      <alignment/>
    </xf>
    <xf numFmtId="4" fontId="0" fillId="41" borderId="0" xfId="0" applyNumberFormat="1" applyFill="1" applyAlignment="1">
      <alignment/>
    </xf>
    <xf numFmtId="4" fontId="13" fillId="41" borderId="0" xfId="0" applyNumberFormat="1" applyFont="1" applyFill="1" applyAlignment="1">
      <alignment/>
    </xf>
    <xf numFmtId="0" fontId="40" fillId="41" borderId="0" xfId="0" applyFont="1" applyFill="1" applyBorder="1" applyAlignment="1">
      <alignment/>
    </xf>
    <xf numFmtId="0" fontId="12" fillId="41" borderId="51" xfId="0" applyFont="1" applyFill="1" applyBorder="1" applyAlignment="1">
      <alignment horizontal="left"/>
    </xf>
    <xf numFmtId="0" fontId="12" fillId="41" borderId="0" xfId="0" applyFont="1" applyFill="1" applyBorder="1" applyAlignment="1">
      <alignment/>
    </xf>
    <xf numFmtId="181" fontId="2" fillId="41" borderId="0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23" fillId="41" borderId="13" xfId="0" applyFont="1" applyFill="1" applyBorder="1" applyAlignment="1">
      <alignment horizontal="center"/>
    </xf>
    <xf numFmtId="0" fontId="23" fillId="41" borderId="0" xfId="0" applyFont="1" applyFill="1" applyBorder="1" applyAlignment="1">
      <alignment/>
    </xf>
    <xf numFmtId="0" fontId="9" fillId="41" borderId="16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4" fontId="0" fillId="41" borderId="0" xfId="0" applyNumberFormat="1" applyFont="1" applyFill="1" applyAlignment="1">
      <alignment/>
    </xf>
    <xf numFmtId="2" fontId="4" fillId="41" borderId="27" xfId="0" applyNumberFormat="1" applyFont="1" applyFill="1" applyBorder="1" applyAlignment="1">
      <alignment horizontal="right"/>
    </xf>
    <xf numFmtId="4" fontId="16" fillId="41" borderId="0" xfId="0" applyNumberFormat="1" applyFont="1" applyFill="1" applyBorder="1" applyAlignment="1">
      <alignment horizontal="center"/>
    </xf>
    <xf numFmtId="171" fontId="4" fillId="41" borderId="54" xfId="0" applyNumberFormat="1" applyFont="1" applyFill="1" applyBorder="1" applyAlignment="1">
      <alignment horizontal="center"/>
    </xf>
    <xf numFmtId="171" fontId="4" fillId="41" borderId="40" xfId="0" applyNumberFormat="1" applyFont="1" applyFill="1" applyBorder="1" applyAlignment="1">
      <alignment horizontal="right"/>
    </xf>
    <xf numFmtId="171" fontId="4" fillId="41" borderId="29" xfId="0" applyNumberFormat="1" applyFont="1" applyFill="1" applyBorder="1" applyAlignment="1">
      <alignment horizontal="right"/>
    </xf>
    <xf numFmtId="171" fontId="4" fillId="41" borderId="0" xfId="0" applyNumberFormat="1" applyFont="1" applyFill="1" applyBorder="1" applyAlignment="1">
      <alignment/>
    </xf>
    <xf numFmtId="171" fontId="4" fillId="41" borderId="25" xfId="0" applyNumberFormat="1" applyFont="1" applyFill="1" applyBorder="1" applyAlignment="1">
      <alignment horizontal="right"/>
    </xf>
    <xf numFmtId="0" fontId="2" fillId="41" borderId="0" xfId="0" applyFont="1" applyFill="1" applyAlignment="1">
      <alignment/>
    </xf>
    <xf numFmtId="4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4" fontId="14" fillId="41" borderId="0" xfId="0" applyNumberFormat="1" applyFont="1" applyFill="1" applyAlignment="1">
      <alignment/>
    </xf>
    <xf numFmtId="171" fontId="4" fillId="41" borderId="29" xfId="0" applyNumberFormat="1" applyFont="1" applyFill="1" applyBorder="1" applyAlignment="1">
      <alignment horizontal="right"/>
    </xf>
    <xf numFmtId="8" fontId="0" fillId="41" borderId="0" xfId="0" applyNumberFormat="1" applyFont="1" applyFill="1" applyAlignment="1">
      <alignment/>
    </xf>
    <xf numFmtId="43" fontId="0" fillId="41" borderId="0" xfId="0" applyNumberFormat="1" applyFont="1" applyFill="1" applyAlignment="1">
      <alignment/>
    </xf>
    <xf numFmtId="171" fontId="4" fillId="41" borderId="25" xfId="0" applyNumberFormat="1" applyFont="1" applyFill="1" applyBorder="1" applyAlignment="1">
      <alignment horizontal="right"/>
    </xf>
    <xf numFmtId="49" fontId="1" fillId="41" borderId="0" xfId="0" applyNumberFormat="1" applyFont="1" applyFill="1" applyBorder="1" applyAlignment="1">
      <alignment horizontal="center"/>
    </xf>
    <xf numFmtId="171" fontId="4" fillId="41" borderId="0" xfId="0" applyNumberFormat="1" applyFont="1" applyFill="1" applyBorder="1" applyAlignment="1">
      <alignment horizontal="left"/>
    </xf>
    <xf numFmtId="0" fontId="1" fillId="41" borderId="0" xfId="0" applyFont="1" applyFill="1" applyBorder="1" applyAlignment="1">
      <alignment horizontal="center"/>
    </xf>
    <xf numFmtId="171" fontId="4" fillId="41" borderId="0" xfId="0" applyNumberFormat="1" applyFont="1" applyFill="1" applyBorder="1" applyAlignment="1">
      <alignment horizontal="right"/>
    </xf>
    <xf numFmtId="171" fontId="4" fillId="41" borderId="0" xfId="0" applyNumberFormat="1" applyFont="1" applyFill="1" applyBorder="1" applyAlignment="1">
      <alignment horizontal="center"/>
    </xf>
    <xf numFmtId="0" fontId="25" fillId="41" borderId="0" xfId="0" applyFont="1" applyFill="1" applyBorder="1" applyAlignment="1">
      <alignment/>
    </xf>
    <xf numFmtId="0" fontId="34" fillId="41" borderId="0" xfId="0" applyFont="1" applyFill="1" applyBorder="1" applyAlignment="1">
      <alignment vertical="center" wrapText="1"/>
    </xf>
    <xf numFmtId="0" fontId="38" fillId="41" borderId="40" xfId="0" applyFont="1" applyFill="1" applyBorder="1" applyAlignment="1">
      <alignment/>
    </xf>
    <xf numFmtId="0" fontId="35" fillId="41" borderId="0" xfId="0" applyFont="1" applyFill="1" applyBorder="1" applyAlignment="1">
      <alignment/>
    </xf>
    <xf numFmtId="0" fontId="12" fillId="41" borderId="55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41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4" fontId="30" fillId="42" borderId="55" xfId="53" applyNumberFormat="1" applyFont="1" applyFill="1" applyBorder="1">
      <alignment/>
      <protection/>
    </xf>
    <xf numFmtId="0" fontId="17" fillId="42" borderId="56" xfId="53" applyFill="1" applyBorder="1" applyAlignment="1">
      <alignment horizontal="center"/>
      <protection/>
    </xf>
    <xf numFmtId="2" fontId="30" fillId="42" borderId="29" xfId="53" applyNumberFormat="1" applyFont="1" applyFill="1" applyBorder="1">
      <alignment/>
      <protection/>
    </xf>
    <xf numFmtId="0" fontId="17" fillId="42" borderId="30" xfId="53" applyFill="1" applyBorder="1" applyAlignment="1">
      <alignment horizontal="center"/>
      <protection/>
    </xf>
    <xf numFmtId="4" fontId="30" fillId="42" borderId="27" xfId="53" applyNumberFormat="1" applyFont="1" applyFill="1" applyBorder="1">
      <alignment/>
      <protection/>
    </xf>
    <xf numFmtId="39" fontId="31" fillId="0" borderId="28" xfId="47" applyNumberFormat="1" applyFont="1" applyBorder="1" applyAlignment="1">
      <alignment/>
    </xf>
    <xf numFmtId="39" fontId="31" fillId="0" borderId="26" xfId="47" applyNumberFormat="1" applyFont="1" applyBorder="1" applyAlignment="1">
      <alignment/>
    </xf>
    <xf numFmtId="171" fontId="4" fillId="0" borderId="29" xfId="0" applyNumberFormat="1" applyFont="1" applyFill="1" applyBorder="1" applyAlignment="1">
      <alignment horizontal="right"/>
    </xf>
    <xf numFmtId="184" fontId="43" fillId="43" borderId="30" xfId="0" applyNumberFormat="1" applyFont="1" applyFill="1" applyBorder="1" applyAlignment="1">
      <alignment horizontal="right"/>
    </xf>
    <xf numFmtId="0" fontId="0" fillId="0" borderId="0" xfId="52">
      <alignment/>
      <protection/>
    </xf>
    <xf numFmtId="2" fontId="9" fillId="33" borderId="57" xfId="52" applyNumberFormat="1" applyFont="1" applyFill="1" applyBorder="1">
      <alignment/>
      <protection/>
    </xf>
    <xf numFmtId="0" fontId="0" fillId="0" borderId="29" xfId="52" applyBorder="1">
      <alignment/>
      <protection/>
    </xf>
    <xf numFmtId="0" fontId="0" fillId="33" borderId="0" xfId="52" applyFill="1">
      <alignment/>
      <protection/>
    </xf>
    <xf numFmtId="10" fontId="1" fillId="0" borderId="26" xfId="59" applyNumberFormat="1" applyFont="1" applyBorder="1" applyAlignment="1">
      <alignment horizontal="center"/>
    </xf>
    <xf numFmtId="0" fontId="0" fillId="33" borderId="0" xfId="52" applyFill="1" applyBorder="1">
      <alignment/>
      <protection/>
    </xf>
    <xf numFmtId="0" fontId="4" fillId="0" borderId="12" xfId="52" applyFont="1" applyBorder="1" applyAlignment="1">
      <alignment/>
      <protection/>
    </xf>
    <xf numFmtId="0" fontId="5" fillId="0" borderId="13" xfId="52" applyFont="1" applyBorder="1" applyAlignment="1">
      <alignment/>
      <protection/>
    </xf>
    <xf numFmtId="0" fontId="3" fillId="0" borderId="13" xfId="52" applyFont="1" applyBorder="1" applyAlignment="1">
      <alignment/>
      <protection/>
    </xf>
    <xf numFmtId="0" fontId="0" fillId="44" borderId="0" xfId="52" applyFill="1" applyBorder="1">
      <alignment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4" borderId="0" xfId="52" applyFont="1" applyFill="1" applyBorder="1">
      <alignment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0" fillId="0" borderId="26" xfId="52" applyFont="1" applyFill="1" applyBorder="1" applyAlignment="1">
      <alignment horizontal="center" vertical="center" wrapText="1"/>
      <protection/>
    </xf>
    <xf numFmtId="0" fontId="10" fillId="0" borderId="50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38" borderId="0" xfId="52" applyFont="1" applyFill="1" applyBorder="1">
      <alignment/>
      <protection/>
    </xf>
    <xf numFmtId="0" fontId="0" fillId="45" borderId="0" xfId="52" applyFill="1" applyBorder="1">
      <alignment/>
      <protection/>
    </xf>
    <xf numFmtId="179" fontId="1" fillId="33" borderId="58" xfId="52" applyNumberFormat="1" applyFont="1" applyFill="1" applyBorder="1" applyAlignment="1">
      <alignment horizontal="center" vertical="top" wrapText="1"/>
      <protection/>
    </xf>
    <xf numFmtId="179" fontId="1" fillId="33" borderId="29" xfId="52" applyNumberFormat="1" applyFont="1" applyFill="1" applyBorder="1" applyAlignment="1">
      <alignment horizontal="center" vertical="top" wrapText="1"/>
      <protection/>
    </xf>
    <xf numFmtId="176" fontId="1" fillId="33" borderId="29" xfId="52" applyNumberFormat="1" applyFont="1" applyFill="1" applyBorder="1" applyAlignment="1">
      <alignment horizontal="center" vertical="top" wrapText="1"/>
      <protection/>
    </xf>
    <xf numFmtId="173" fontId="1" fillId="33" borderId="29" xfId="52" applyNumberFormat="1" applyFont="1" applyFill="1" applyBorder="1" applyAlignment="1">
      <alignment horizontal="center" vertical="top" wrapText="1"/>
      <protection/>
    </xf>
    <xf numFmtId="39" fontId="1" fillId="33" borderId="29" xfId="52" applyNumberFormat="1" applyFont="1" applyFill="1" applyBorder="1" applyAlignment="1">
      <alignment horizontal="center" vertical="top" wrapText="1"/>
      <protection/>
    </xf>
    <xf numFmtId="2" fontId="1" fillId="33" borderId="29" xfId="52" applyNumberFormat="1" applyFont="1" applyFill="1" applyBorder="1" applyAlignment="1">
      <alignment horizontal="center" vertical="top" wrapText="1"/>
      <protection/>
    </xf>
    <xf numFmtId="175" fontId="1" fillId="33" borderId="55" xfId="52" applyNumberFormat="1" applyFont="1" applyFill="1" applyBorder="1" applyAlignment="1">
      <alignment horizontal="center" vertical="top" wrapText="1"/>
      <protection/>
    </xf>
    <xf numFmtId="172" fontId="1" fillId="33" borderId="55" xfId="52" applyNumberFormat="1" applyFont="1" applyFill="1" applyBorder="1" applyAlignment="1">
      <alignment horizontal="center" vertical="top" wrapText="1"/>
      <protection/>
    </xf>
    <xf numFmtId="173" fontId="1" fillId="33" borderId="55" xfId="52" applyNumberFormat="1" applyFont="1" applyFill="1" applyBorder="1" applyAlignment="1">
      <alignment horizontal="center" vertical="top" wrapText="1"/>
      <protection/>
    </xf>
    <xf numFmtId="0" fontId="1" fillId="33" borderId="55" xfId="52" applyFont="1" applyFill="1" applyBorder="1" applyAlignment="1">
      <alignment horizontal="center" vertical="top" wrapText="1"/>
      <protection/>
    </xf>
    <xf numFmtId="177" fontId="1" fillId="33" borderId="55" xfId="52" applyNumberFormat="1" applyFont="1" applyFill="1" applyBorder="1" applyAlignment="1">
      <alignment horizontal="center" vertical="top" wrapText="1"/>
      <protection/>
    </xf>
    <xf numFmtId="4" fontId="10" fillId="33" borderId="56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173" fontId="1" fillId="0" borderId="29" xfId="52" applyNumberFormat="1" applyFont="1" applyFill="1" applyBorder="1" applyAlignment="1">
      <alignment horizontal="center" vertical="top" wrapText="1"/>
      <protection/>
    </xf>
    <xf numFmtId="0" fontId="26" fillId="0" borderId="0" xfId="52" applyFont="1" applyFill="1" applyBorder="1">
      <alignment/>
      <protection/>
    </xf>
    <xf numFmtId="179" fontId="1" fillId="33" borderId="33" xfId="52" applyNumberFormat="1" applyFont="1" applyFill="1" applyBorder="1" applyAlignment="1">
      <alignment horizontal="center" vertical="top" wrapText="1"/>
      <protection/>
    </xf>
    <xf numFmtId="179" fontId="1" fillId="0" borderId="33" xfId="52" applyNumberFormat="1" applyFont="1" applyFill="1" applyBorder="1" applyAlignment="1">
      <alignment horizontal="center" vertical="top" wrapText="1"/>
      <protection/>
    </xf>
    <xf numFmtId="176" fontId="1" fillId="0" borderId="29" xfId="52" applyNumberFormat="1" applyFont="1" applyFill="1" applyBorder="1" applyAlignment="1">
      <alignment horizontal="center" vertical="top" wrapText="1"/>
      <protection/>
    </xf>
    <xf numFmtId="39" fontId="1" fillId="0" borderId="29" xfId="52" applyNumberFormat="1" applyFont="1" applyFill="1" applyBorder="1" applyAlignment="1">
      <alignment horizontal="center" vertical="top" wrapText="1"/>
      <protection/>
    </xf>
    <xf numFmtId="2" fontId="1" fillId="0" borderId="29" xfId="52" applyNumberFormat="1" applyFont="1" applyFill="1" applyBorder="1" applyAlignment="1">
      <alignment horizontal="center" vertical="top" wrapText="1"/>
      <protection/>
    </xf>
    <xf numFmtId="172" fontId="1" fillId="0" borderId="55" xfId="52" applyNumberFormat="1" applyFont="1" applyFill="1" applyBorder="1" applyAlignment="1">
      <alignment horizontal="center" vertical="top" wrapText="1"/>
      <protection/>
    </xf>
    <xf numFmtId="0" fontId="0" fillId="33" borderId="59" xfId="52" applyFont="1" applyFill="1" applyBorder="1" applyAlignment="1">
      <alignment horizontal="left"/>
      <protection/>
    </xf>
    <xf numFmtId="0" fontId="0" fillId="33" borderId="37" xfId="52" applyFont="1" applyFill="1" applyBorder="1" applyAlignment="1">
      <alignment horizontal="left"/>
      <protection/>
    </xf>
    <xf numFmtId="0" fontId="0" fillId="33" borderId="60" xfId="52" applyFill="1" applyBorder="1" applyAlignment="1">
      <alignment horizontal="center"/>
      <protection/>
    </xf>
    <xf numFmtId="0" fontId="0" fillId="33" borderId="59" xfId="52" applyFill="1" applyBorder="1" applyAlignment="1">
      <alignment horizontal="left"/>
      <protection/>
    </xf>
    <xf numFmtId="0" fontId="0" fillId="33" borderId="37" xfId="52" applyFill="1" applyBorder="1" applyAlignment="1">
      <alignment horizontal="center"/>
      <protection/>
    </xf>
    <xf numFmtId="0" fontId="0" fillId="33" borderId="61" xfId="52" applyFill="1" applyBorder="1" applyAlignment="1">
      <alignment horizontal="center"/>
      <protection/>
    </xf>
    <xf numFmtId="0" fontId="9" fillId="33" borderId="62" xfId="52" applyFont="1" applyFill="1" applyBorder="1">
      <alignment/>
      <protection/>
    </xf>
    <xf numFmtId="0" fontId="9" fillId="33" borderId="63" xfId="52" applyNumberFormat="1" applyFont="1" applyFill="1" applyBorder="1" applyAlignment="1">
      <alignment horizontal="center"/>
      <protection/>
    </xf>
    <xf numFmtId="0" fontId="9" fillId="33" borderId="64" xfId="52" applyFont="1" applyFill="1" applyBorder="1" applyAlignment="1">
      <alignment horizontal="left"/>
      <protection/>
    </xf>
    <xf numFmtId="0" fontId="0" fillId="0" borderId="65" xfId="52" applyBorder="1">
      <alignment/>
      <protection/>
    </xf>
    <xf numFmtId="0" fontId="0" fillId="0" borderId="63" xfId="52" applyBorder="1">
      <alignment/>
      <protection/>
    </xf>
    <xf numFmtId="0" fontId="4" fillId="33" borderId="64" xfId="52" applyNumberFormat="1" applyFont="1" applyFill="1" applyBorder="1" applyAlignment="1">
      <alignment/>
      <protection/>
    </xf>
    <xf numFmtId="0" fontId="4" fillId="33" borderId="65" xfId="52" applyNumberFormat="1" applyFont="1" applyFill="1" applyBorder="1" applyAlignment="1">
      <alignment/>
      <protection/>
    </xf>
    <xf numFmtId="0" fontId="0" fillId="33" borderId="63" xfId="52" applyFill="1" applyBorder="1" applyAlignment="1">
      <alignment horizontal="right"/>
      <protection/>
    </xf>
    <xf numFmtId="173" fontId="0" fillId="33" borderId="63" xfId="52" applyNumberFormat="1" applyFill="1" applyBorder="1" applyAlignment="1">
      <alignment horizontal="center"/>
      <protection/>
    </xf>
    <xf numFmtId="0" fontId="0" fillId="33" borderId="64" xfId="52" applyFill="1" applyBorder="1" applyAlignment="1">
      <alignment horizontal="left"/>
      <protection/>
    </xf>
    <xf numFmtId="0" fontId="0" fillId="33" borderId="55" xfId="52" applyFill="1" applyBorder="1" applyAlignment="1">
      <alignment horizontal="center"/>
      <protection/>
    </xf>
    <xf numFmtId="0" fontId="9" fillId="33" borderId="34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52" xfId="52" applyFont="1" applyFill="1" applyBorder="1" applyAlignment="1">
      <alignment horizontal="left"/>
      <protection/>
    </xf>
    <xf numFmtId="0" fontId="0" fillId="33" borderId="66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2" xfId="52" applyFill="1" applyBorder="1" applyAlignment="1">
      <alignment horizontal="right"/>
      <protection/>
    </xf>
    <xf numFmtId="0" fontId="4" fillId="33" borderId="66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52" xfId="52" applyFill="1" applyBorder="1" applyAlignment="1">
      <alignment horizontal="left"/>
      <protection/>
    </xf>
    <xf numFmtId="0" fontId="0" fillId="33" borderId="29" xfId="52" applyFill="1" applyBorder="1" applyAlignment="1">
      <alignment horizontal="center"/>
      <protection/>
    </xf>
    <xf numFmtId="0" fontId="9" fillId="33" borderId="53" xfId="52" applyFont="1" applyFill="1" applyBorder="1">
      <alignment/>
      <protection/>
    </xf>
    <xf numFmtId="0" fontId="9" fillId="33" borderId="23" xfId="52" applyNumberFormat="1" applyFont="1" applyFill="1" applyBorder="1" applyAlignment="1">
      <alignment horizontal="center"/>
      <protection/>
    </xf>
    <xf numFmtId="0" fontId="9" fillId="33" borderId="67" xfId="52" applyFont="1" applyFill="1" applyBorder="1" applyAlignment="1">
      <alignment horizontal="left"/>
      <protection/>
    </xf>
    <xf numFmtId="0" fontId="0" fillId="33" borderId="68" xfId="52" applyFill="1" applyBorder="1" applyAlignment="1">
      <alignment horizontal="center"/>
      <protection/>
    </xf>
    <xf numFmtId="0" fontId="0" fillId="33" borderId="23" xfId="52" applyFill="1" applyBorder="1" applyAlignment="1">
      <alignment horizontal="center"/>
      <protection/>
    </xf>
    <xf numFmtId="0" fontId="0" fillId="33" borderId="67" xfId="52" applyFill="1" applyBorder="1" applyAlignment="1">
      <alignment horizontal="right"/>
      <protection/>
    </xf>
    <xf numFmtId="0" fontId="12" fillId="33" borderId="68" xfId="52" applyNumberFormat="1" applyFont="1" applyFill="1" applyBorder="1" applyAlignment="1">
      <alignment horizontal="right"/>
      <protection/>
    </xf>
    <xf numFmtId="0" fontId="0" fillId="33" borderId="67" xfId="52" applyFill="1" applyBorder="1" applyAlignment="1">
      <alignment horizontal="center"/>
      <protection/>
    </xf>
    <xf numFmtId="0" fontId="0" fillId="33" borderId="25" xfId="52" applyFill="1" applyBorder="1" applyAlignment="1">
      <alignment horizontal="center"/>
      <protection/>
    </xf>
    <xf numFmtId="49" fontId="0" fillId="33" borderId="44" xfId="52" applyNumberFormat="1" applyFill="1" applyBorder="1" applyAlignment="1">
      <alignment horizontal="left"/>
      <protection/>
    </xf>
    <xf numFmtId="0" fontId="0" fillId="33" borderId="69" xfId="52" applyFill="1" applyBorder="1" applyAlignment="1">
      <alignment horizontal="left"/>
      <protection/>
    </xf>
    <xf numFmtId="0" fontId="0" fillId="33" borderId="38" xfId="52" applyFill="1" applyBorder="1">
      <alignment/>
      <protection/>
    </xf>
    <xf numFmtId="0" fontId="4" fillId="33" borderId="16" xfId="52" applyNumberFormat="1" applyFont="1" applyFill="1" applyBorder="1" applyAlignment="1">
      <alignment horizontal="center"/>
      <protection/>
    </xf>
    <xf numFmtId="0" fontId="0" fillId="33" borderId="16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0" fontId="0" fillId="33" borderId="38" xfId="52" applyFill="1" applyBorder="1" applyAlignment="1">
      <alignment horizontal="left"/>
      <protection/>
    </xf>
    <xf numFmtId="0" fontId="0" fillId="33" borderId="34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0" fillId="33" borderId="34" xfId="52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35" xfId="52" applyFont="1" applyFill="1" applyBorder="1" applyAlignment="1">
      <alignment/>
      <protection/>
    </xf>
    <xf numFmtId="0" fontId="0" fillId="33" borderId="53" xfId="52" applyFill="1" applyBorder="1">
      <alignment/>
      <protection/>
    </xf>
    <xf numFmtId="0" fontId="4" fillId="33" borderId="23" xfId="52" applyNumberFormat="1" applyFont="1" applyFill="1" applyBorder="1" applyAlignment="1">
      <alignment horizontal="center"/>
      <protection/>
    </xf>
    <xf numFmtId="0" fontId="0" fillId="33" borderId="23" xfId="52" applyFill="1" applyBorder="1" applyAlignment="1">
      <alignment horizontal="right"/>
      <protection/>
    </xf>
    <xf numFmtId="173" fontId="0" fillId="33" borderId="23" xfId="52" applyNumberFormat="1" applyFill="1" applyBorder="1" applyAlignment="1">
      <alignment horizontal="center"/>
      <protection/>
    </xf>
    <xf numFmtId="0" fontId="0" fillId="33" borderId="23" xfId="52" applyFill="1" applyBorder="1" applyAlignment="1">
      <alignment horizontal="left"/>
      <protection/>
    </xf>
    <xf numFmtId="0" fontId="0" fillId="33" borderId="23" xfId="52" applyFill="1" applyBorder="1" applyAlignment="1">
      <alignment/>
      <protection/>
    </xf>
    <xf numFmtId="0" fontId="0" fillId="33" borderId="50" xfId="52" applyFill="1" applyBorder="1" applyAlignment="1">
      <alignment/>
      <protection/>
    </xf>
    <xf numFmtId="0" fontId="4" fillId="41" borderId="29" xfId="0" applyFont="1" applyFill="1" applyBorder="1" applyAlignment="1">
      <alignment horizontal="center"/>
    </xf>
    <xf numFmtId="171" fontId="4" fillId="41" borderId="33" xfId="0" applyNumberFormat="1" applyFont="1" applyFill="1" applyBorder="1" applyAlignment="1">
      <alignment horizontal="center"/>
    </xf>
    <xf numFmtId="4" fontId="4" fillId="41" borderId="30" xfId="0" applyNumberFormat="1" applyFont="1" applyFill="1" applyBorder="1" applyAlignment="1">
      <alignment horizontal="center" vertical="center"/>
    </xf>
    <xf numFmtId="0" fontId="9" fillId="33" borderId="0" xfId="52" applyFont="1" applyFill="1">
      <alignment/>
      <protection/>
    </xf>
    <xf numFmtId="0" fontId="44" fillId="33" borderId="0" xfId="52" applyFont="1" applyFill="1">
      <alignment/>
      <protection/>
    </xf>
    <xf numFmtId="0" fontId="0" fillId="41" borderId="0" xfId="52" applyFont="1" applyFill="1">
      <alignment/>
      <protection/>
    </xf>
    <xf numFmtId="17" fontId="0" fillId="33" borderId="0" xfId="52" applyNumberForma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4" fontId="0" fillId="33" borderId="63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 vertical="center"/>
      <protection/>
    </xf>
    <xf numFmtId="0" fontId="0" fillId="33" borderId="66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/>
      <protection/>
    </xf>
    <xf numFmtId="0" fontId="0" fillId="33" borderId="47" xfId="52" applyFill="1" applyBorder="1" applyAlignment="1">
      <alignment horizontal="center"/>
      <protection/>
    </xf>
    <xf numFmtId="0" fontId="0" fillId="33" borderId="70" xfId="52" applyFill="1" applyBorder="1" applyAlignment="1">
      <alignment horizontal="center"/>
      <protection/>
    </xf>
    <xf numFmtId="4" fontId="0" fillId="33" borderId="70" xfId="52" applyNumberFormat="1" applyFill="1" applyBorder="1" applyAlignment="1">
      <alignment horizontal="center"/>
      <protection/>
    </xf>
    <xf numFmtId="4" fontId="0" fillId="33" borderId="71" xfId="52" applyNumberFormat="1" applyFill="1" applyBorder="1" applyAlignment="1">
      <alignment horizontal="center"/>
      <protection/>
    </xf>
    <xf numFmtId="4" fontId="0" fillId="33" borderId="29" xfId="52" applyNumberFormat="1" applyFill="1" applyBorder="1" applyAlignment="1">
      <alignment horizontal="center"/>
      <protection/>
    </xf>
    <xf numFmtId="0" fontId="13" fillId="33" borderId="65" xfId="52" applyFont="1" applyFill="1" applyBorder="1" applyAlignment="1">
      <alignment horizontal="center" vertical="center"/>
      <protection/>
    </xf>
    <xf numFmtId="0" fontId="0" fillId="33" borderId="63" xfId="52" applyFont="1" applyFill="1" applyBorder="1" applyAlignment="1">
      <alignment vertical="center" wrapText="1"/>
      <protection/>
    </xf>
    <xf numFmtId="0" fontId="0" fillId="33" borderId="63" xfId="52" applyFont="1" applyFill="1" applyBorder="1" applyAlignment="1">
      <alignment horizontal="center" vertical="center"/>
      <protection/>
    </xf>
    <xf numFmtId="4" fontId="0" fillId="33" borderId="64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47" xfId="52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left" vertical="center" wrapText="1"/>
      <protection/>
    </xf>
    <xf numFmtId="4" fontId="0" fillId="33" borderId="70" xfId="52" applyNumberFormat="1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 vertical="center"/>
      <protection/>
    </xf>
    <xf numFmtId="4" fontId="0" fillId="33" borderId="71" xfId="52" applyNumberFormat="1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2" fontId="9" fillId="33" borderId="0" xfId="52" applyNumberFormat="1" applyFont="1" applyFill="1" applyBorder="1">
      <alignment/>
      <protection/>
    </xf>
    <xf numFmtId="0" fontId="3" fillId="41" borderId="34" xfId="0" applyFont="1" applyFill="1" applyBorder="1" applyAlignment="1">
      <alignment/>
    </xf>
    <xf numFmtId="0" fontId="12" fillId="41" borderId="38" xfId="0" applyFont="1" applyFill="1" applyBorder="1" applyAlignment="1">
      <alignment/>
    </xf>
    <xf numFmtId="181" fontId="2" fillId="41" borderId="18" xfId="0" applyNumberFormat="1" applyFont="1" applyFill="1" applyBorder="1" applyAlignment="1">
      <alignment horizontal="center"/>
    </xf>
    <xf numFmtId="0" fontId="3" fillId="41" borderId="0" xfId="0" applyFont="1" applyFill="1" applyBorder="1" applyAlignment="1">
      <alignment/>
    </xf>
    <xf numFmtId="4" fontId="30" fillId="0" borderId="72" xfId="53" applyNumberFormat="1" applyFont="1" applyBorder="1">
      <alignment/>
      <protection/>
    </xf>
    <xf numFmtId="179" fontId="33" fillId="33" borderId="22" xfId="53" applyNumberFormat="1" applyFont="1" applyFill="1" applyBorder="1" applyAlignment="1">
      <alignment horizontal="right"/>
      <protection/>
    </xf>
    <xf numFmtId="179" fontId="33" fillId="33" borderId="25" xfId="53" applyNumberFormat="1" applyFont="1" applyFill="1" applyBorder="1" applyAlignment="1">
      <alignment horizontal="right"/>
      <protection/>
    </xf>
    <xf numFmtId="1" fontId="33" fillId="33" borderId="25" xfId="53" applyNumberFormat="1" applyFont="1" applyFill="1" applyBorder="1" applyAlignment="1">
      <alignment horizontal="center"/>
      <protection/>
    </xf>
    <xf numFmtId="2" fontId="33" fillId="33" borderId="25" xfId="53" applyNumberFormat="1" applyFont="1" applyFill="1" applyBorder="1">
      <alignment/>
      <protection/>
    </xf>
    <xf numFmtId="2" fontId="33" fillId="33" borderId="25" xfId="57" applyNumberFormat="1" applyFont="1" applyFill="1" applyBorder="1">
      <alignment/>
      <protection/>
    </xf>
    <xf numFmtId="2" fontId="33" fillId="33" borderId="25" xfId="53" applyNumberFormat="1" applyFont="1" applyFill="1" applyBorder="1" applyAlignment="1">
      <alignment horizontal="right"/>
      <protection/>
    </xf>
    <xf numFmtId="2" fontId="33" fillId="33" borderId="26" xfId="57" applyNumberFormat="1" applyFont="1" applyFill="1" applyBorder="1">
      <alignment/>
      <protection/>
    </xf>
    <xf numFmtId="184" fontId="1" fillId="0" borderId="29" xfId="0" applyNumberFormat="1" applyFont="1" applyFill="1" applyBorder="1" applyAlignment="1">
      <alignment horizontal="distributed" vertical="center"/>
    </xf>
    <xf numFmtId="184" fontId="10" fillId="0" borderId="27" xfId="0" applyNumberFormat="1" applyFont="1" applyBorder="1" applyAlignment="1">
      <alignment horizontal="distributed" vertical="center"/>
    </xf>
    <xf numFmtId="171" fontId="4" fillId="41" borderId="40" xfId="0" applyNumberFormat="1" applyFont="1" applyFill="1" applyBorder="1" applyAlignment="1">
      <alignment horizontal="left"/>
    </xf>
    <xf numFmtId="0" fontId="9" fillId="41" borderId="51" xfId="0" applyFont="1" applyFill="1" applyBorder="1" applyAlignment="1">
      <alignment horizontal="center"/>
    </xf>
    <xf numFmtId="0" fontId="9" fillId="41" borderId="73" xfId="0" applyFont="1" applyFill="1" applyBorder="1" applyAlignment="1">
      <alignment horizontal="center"/>
    </xf>
    <xf numFmtId="0" fontId="9" fillId="41" borderId="31" xfId="0" applyFont="1" applyFill="1" applyBorder="1" applyAlignment="1">
      <alignment horizontal="center"/>
    </xf>
    <xf numFmtId="171" fontId="4" fillId="41" borderId="29" xfId="0" applyNumberFormat="1" applyFont="1" applyFill="1" applyBorder="1" applyAlignment="1">
      <alignment horizontal="left"/>
    </xf>
    <xf numFmtId="49" fontId="2" fillId="41" borderId="41" xfId="0" applyNumberFormat="1" applyFont="1" applyFill="1" applyBorder="1" applyAlignment="1">
      <alignment horizontal="center"/>
    </xf>
    <xf numFmtId="171" fontId="2" fillId="41" borderId="27" xfId="0" applyNumberFormat="1" applyFont="1" applyFill="1" applyBorder="1" applyAlignment="1">
      <alignment horizontal="left"/>
    </xf>
    <xf numFmtId="0" fontId="0" fillId="41" borderId="27" xfId="0" applyFont="1" applyFill="1" applyBorder="1" applyAlignment="1">
      <alignment horizontal="center"/>
    </xf>
    <xf numFmtId="49" fontId="4" fillId="41" borderId="3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71" fontId="4" fillId="33" borderId="25" xfId="0" applyNumberFormat="1" applyFont="1" applyFill="1" applyBorder="1" applyAlignment="1">
      <alignment horizontal="left"/>
    </xf>
    <xf numFmtId="49" fontId="4" fillId="41" borderId="22" xfId="0" applyNumberFormat="1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171" fontId="1" fillId="0" borderId="29" xfId="0" applyNumberFormat="1" applyFont="1" applyFill="1" applyBorder="1" applyAlignment="1">
      <alignment horizontal="left" vertical="center"/>
    </xf>
    <xf numFmtId="171" fontId="1" fillId="0" borderId="29" xfId="0" applyNumberFormat="1" applyFont="1" applyFill="1" applyBorder="1" applyAlignment="1">
      <alignment horizontal="right"/>
    </xf>
    <xf numFmtId="171" fontId="1" fillId="0" borderId="29" xfId="0" applyNumberFormat="1" applyFont="1" applyFill="1" applyBorder="1" applyAlignment="1">
      <alignment horizontal="center"/>
    </xf>
    <xf numFmtId="171" fontId="1" fillId="0" borderId="29" xfId="0" applyNumberFormat="1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1" fontId="10" fillId="0" borderId="27" xfId="0" applyNumberFormat="1" applyFont="1" applyBorder="1" applyAlignment="1">
      <alignment/>
    </xf>
    <xf numFmtId="39" fontId="10" fillId="0" borderId="27" xfId="0" applyNumberFormat="1" applyFont="1" applyBorder="1" applyAlignment="1">
      <alignment horizontal="right"/>
    </xf>
    <xf numFmtId="186" fontId="10" fillId="0" borderId="27" xfId="0" applyNumberFormat="1" applyFont="1" applyBorder="1" applyAlignment="1">
      <alignment/>
    </xf>
    <xf numFmtId="0" fontId="1" fillId="0" borderId="3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left" vertical="center"/>
    </xf>
    <xf numFmtId="171" fontId="1" fillId="0" borderId="25" xfId="0" applyNumberFormat="1" applyFont="1" applyFill="1" applyBorder="1" applyAlignment="1">
      <alignment horizontal="right"/>
    </xf>
    <xf numFmtId="184" fontId="1" fillId="0" borderId="25" xfId="0" applyNumberFormat="1" applyFont="1" applyFill="1" applyBorder="1" applyAlignment="1">
      <alignment horizontal="distributed" vertical="center"/>
    </xf>
    <xf numFmtId="0" fontId="1" fillId="0" borderId="25" xfId="0" applyNumberFormat="1" applyFont="1" applyFill="1" applyBorder="1" applyAlignment="1">
      <alignment horizontal="center"/>
    </xf>
    <xf numFmtId="171" fontId="1" fillId="0" borderId="27" xfId="0" applyNumberFormat="1" applyFont="1" applyFill="1" applyBorder="1" applyAlignment="1">
      <alignment horizontal="right"/>
    </xf>
    <xf numFmtId="184" fontId="1" fillId="0" borderId="27" xfId="0" applyNumberFormat="1" applyFont="1" applyFill="1" applyBorder="1" applyAlignment="1">
      <alignment horizontal="distributed" vertical="center"/>
    </xf>
    <xf numFmtId="0" fontId="4" fillId="0" borderId="45" xfId="0" applyNumberFormat="1" applyFont="1" applyFill="1" applyBorder="1" applyAlignment="1">
      <alignment horizontal="center"/>
    </xf>
    <xf numFmtId="0" fontId="4" fillId="0" borderId="46" xfId="0" applyNumberFormat="1" applyFont="1" applyFill="1" applyBorder="1" applyAlignment="1">
      <alignment horizontal="center"/>
    </xf>
    <xf numFmtId="10" fontId="10" fillId="0" borderId="28" xfId="59" applyNumberFormat="1" applyFont="1" applyBorder="1" applyAlignment="1">
      <alignment/>
    </xf>
    <xf numFmtId="10" fontId="1" fillId="0" borderId="26" xfId="59" applyNumberFormat="1" applyFont="1" applyFill="1" applyBorder="1" applyAlignment="1">
      <alignment/>
    </xf>
    <xf numFmtId="10" fontId="1" fillId="0" borderId="30" xfId="59" applyNumberFormat="1" applyFont="1" applyFill="1" applyBorder="1" applyAlignment="1">
      <alignment/>
    </xf>
    <xf numFmtId="179" fontId="1" fillId="41" borderId="58" xfId="52" applyNumberFormat="1" applyFont="1" applyFill="1" applyBorder="1" applyAlignment="1">
      <alignment horizontal="center" vertical="top" wrapText="1"/>
      <protection/>
    </xf>
    <xf numFmtId="179" fontId="1" fillId="41" borderId="29" xfId="52" applyNumberFormat="1" applyFont="1" applyFill="1" applyBorder="1" applyAlignment="1">
      <alignment horizontal="center" vertical="top" wrapText="1"/>
      <protection/>
    </xf>
    <xf numFmtId="176" fontId="1" fillId="41" borderId="29" xfId="52" applyNumberFormat="1" applyFont="1" applyFill="1" applyBorder="1" applyAlignment="1">
      <alignment horizontal="center" vertical="top" wrapText="1"/>
      <protection/>
    </xf>
    <xf numFmtId="173" fontId="1" fillId="41" borderId="29" xfId="52" applyNumberFormat="1" applyFont="1" applyFill="1" applyBorder="1" applyAlignment="1">
      <alignment horizontal="center" vertical="top" wrapText="1"/>
      <protection/>
    </xf>
    <xf numFmtId="39" fontId="1" fillId="41" borderId="29" xfId="52" applyNumberFormat="1" applyFont="1" applyFill="1" applyBorder="1" applyAlignment="1">
      <alignment horizontal="center" vertical="top" wrapText="1"/>
      <protection/>
    </xf>
    <xf numFmtId="2" fontId="1" fillId="41" borderId="29" xfId="52" applyNumberFormat="1" applyFont="1" applyFill="1" applyBorder="1" applyAlignment="1">
      <alignment horizontal="center" vertical="top" wrapText="1"/>
      <protection/>
    </xf>
    <xf numFmtId="175" fontId="1" fillId="41" borderId="55" xfId="52" applyNumberFormat="1" applyFont="1" applyFill="1" applyBorder="1" applyAlignment="1">
      <alignment horizontal="center" vertical="top" wrapText="1"/>
      <protection/>
    </xf>
    <xf numFmtId="172" fontId="1" fillId="41" borderId="55" xfId="52" applyNumberFormat="1" applyFont="1" applyFill="1" applyBorder="1" applyAlignment="1">
      <alignment horizontal="center" vertical="top" wrapText="1"/>
      <protection/>
    </xf>
    <xf numFmtId="173" fontId="1" fillId="41" borderId="55" xfId="52" applyNumberFormat="1" applyFont="1" applyFill="1" applyBorder="1" applyAlignment="1">
      <alignment horizontal="center" vertical="top" wrapText="1"/>
      <protection/>
    </xf>
    <xf numFmtId="0" fontId="1" fillId="41" borderId="55" xfId="52" applyFont="1" applyFill="1" applyBorder="1" applyAlignment="1">
      <alignment horizontal="center" vertical="top" wrapText="1"/>
      <protection/>
    </xf>
    <xf numFmtId="177" fontId="1" fillId="41" borderId="55" xfId="52" applyNumberFormat="1" applyFont="1" applyFill="1" applyBorder="1" applyAlignment="1">
      <alignment horizontal="center" vertical="top" wrapText="1"/>
      <protection/>
    </xf>
    <xf numFmtId="4" fontId="10" fillId="41" borderId="56" xfId="52" applyNumberFormat="1" applyFont="1" applyFill="1" applyBorder="1" applyAlignment="1">
      <alignment horizontal="center" vertical="top" wrapText="1"/>
      <protection/>
    </xf>
    <xf numFmtId="179" fontId="1" fillId="41" borderId="58" xfId="52" applyNumberFormat="1" applyFont="1" applyFill="1" applyBorder="1" applyAlignment="1">
      <alignment horizontal="center" vertical="center" wrapText="1"/>
      <protection/>
    </xf>
    <xf numFmtId="179" fontId="1" fillId="41" borderId="29" xfId="52" applyNumberFormat="1" applyFont="1" applyFill="1" applyBorder="1" applyAlignment="1">
      <alignment horizontal="center" vertical="center" wrapText="1"/>
      <protection/>
    </xf>
    <xf numFmtId="176" fontId="1" fillId="41" borderId="29" xfId="52" applyNumberFormat="1" applyFont="1" applyFill="1" applyBorder="1" applyAlignment="1">
      <alignment horizontal="center" vertical="center" wrapText="1"/>
      <protection/>
    </xf>
    <xf numFmtId="173" fontId="1" fillId="41" borderId="29" xfId="52" applyNumberFormat="1" applyFont="1" applyFill="1" applyBorder="1" applyAlignment="1">
      <alignment horizontal="center" vertical="center" wrapText="1"/>
      <protection/>
    </xf>
    <xf numFmtId="39" fontId="1" fillId="41" borderId="29" xfId="52" applyNumberFormat="1" applyFont="1" applyFill="1" applyBorder="1" applyAlignment="1">
      <alignment horizontal="center" vertical="center" wrapText="1"/>
      <protection/>
    </xf>
    <xf numFmtId="2" fontId="1" fillId="41" borderId="29" xfId="52" applyNumberFormat="1" applyFont="1" applyFill="1" applyBorder="1" applyAlignment="1">
      <alignment horizontal="center" vertical="center" wrapText="1"/>
      <protection/>
    </xf>
    <xf numFmtId="171" fontId="4" fillId="0" borderId="29" xfId="0" applyNumberFormat="1" applyFont="1" applyFill="1" applyBorder="1" applyAlignment="1">
      <alignment horizontal="left"/>
    </xf>
    <xf numFmtId="171" fontId="4" fillId="0" borderId="25" xfId="0" applyNumberFormat="1" applyFont="1" applyFill="1" applyBorder="1" applyAlignment="1">
      <alignment horizontal="left"/>
    </xf>
    <xf numFmtId="4" fontId="4" fillId="43" borderId="75" xfId="0" applyNumberFormat="1" applyFont="1" applyFill="1" applyBorder="1" applyAlignment="1">
      <alignment/>
    </xf>
    <xf numFmtId="0" fontId="1" fillId="0" borderId="54" xfId="0" applyNumberFormat="1" applyFont="1" applyFill="1" applyBorder="1" applyAlignment="1">
      <alignment horizontal="center"/>
    </xf>
    <xf numFmtId="171" fontId="1" fillId="0" borderId="40" xfId="0" applyNumberFormat="1" applyFont="1" applyFill="1" applyBorder="1" applyAlignment="1">
      <alignment horizontal="left" vertical="center"/>
    </xf>
    <xf numFmtId="171" fontId="1" fillId="0" borderId="40" xfId="0" applyNumberFormat="1" applyFont="1" applyFill="1" applyBorder="1" applyAlignment="1">
      <alignment horizontal="center"/>
    </xf>
    <xf numFmtId="171" fontId="1" fillId="0" borderId="40" xfId="0" applyNumberFormat="1" applyFont="1" applyFill="1" applyBorder="1" applyAlignment="1">
      <alignment horizontal="right"/>
    </xf>
    <xf numFmtId="184" fontId="1" fillId="0" borderId="40" xfId="0" applyNumberFormat="1" applyFont="1" applyFill="1" applyBorder="1" applyAlignment="1">
      <alignment horizontal="distributed" vertical="center"/>
    </xf>
    <xf numFmtId="10" fontId="1" fillId="0" borderId="36" xfId="59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center"/>
    </xf>
    <xf numFmtId="184" fontId="4" fillId="43" borderId="29" xfId="0" applyNumberFormat="1" applyFont="1" applyFill="1" applyBorder="1" applyAlignment="1">
      <alignment horizontal="right"/>
    </xf>
    <xf numFmtId="184" fontId="4" fillId="43" borderId="25" xfId="0" applyNumberFormat="1" applyFont="1" applyFill="1" applyBorder="1" applyAlignment="1">
      <alignment horizontal="right"/>
    </xf>
    <xf numFmtId="2" fontId="17" fillId="41" borderId="46" xfId="53" applyNumberFormat="1" applyFill="1" applyBorder="1">
      <alignment/>
      <protection/>
    </xf>
    <xf numFmtId="0" fontId="1" fillId="0" borderId="29" xfId="0" applyFont="1" applyBorder="1" applyAlignment="1">
      <alignment horizontal="center"/>
    </xf>
    <xf numFmtId="0" fontId="4" fillId="0" borderId="76" xfId="0" applyNumberFormat="1" applyFont="1" applyFill="1" applyBorder="1" applyAlignment="1">
      <alignment horizontal="center"/>
    </xf>
    <xf numFmtId="4" fontId="4" fillId="43" borderId="24" xfId="0" applyNumberFormat="1" applyFont="1" applyFill="1" applyBorder="1" applyAlignment="1">
      <alignment/>
    </xf>
    <xf numFmtId="0" fontId="1" fillId="0" borderId="40" xfId="0" applyNumberFormat="1" applyFont="1" applyFill="1" applyBorder="1" applyAlignment="1">
      <alignment horizontal="center"/>
    </xf>
    <xf numFmtId="4" fontId="4" fillId="43" borderId="64" xfId="0" applyNumberFormat="1" applyFont="1" applyFill="1" applyBorder="1" applyAlignment="1">
      <alignment/>
    </xf>
    <xf numFmtId="184" fontId="4" fillId="43" borderId="4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2" xfId="52" applyFont="1" applyBorder="1" applyAlignment="1">
      <alignment horizontal="center"/>
      <protection/>
    </xf>
    <xf numFmtId="10" fontId="9" fillId="41" borderId="69" xfId="0" applyNumberFormat="1" applyFont="1" applyFill="1" applyBorder="1" applyAlignment="1">
      <alignment horizontal="center"/>
    </xf>
    <xf numFmtId="10" fontId="9" fillId="41" borderId="77" xfId="0" applyNumberFormat="1" applyFont="1" applyFill="1" applyBorder="1" applyAlignment="1">
      <alignment horizontal="center"/>
    </xf>
    <xf numFmtId="10" fontId="10" fillId="0" borderId="78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49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208" fontId="10" fillId="0" borderId="78" xfId="0" applyNumberFormat="1" applyFont="1" applyBorder="1" applyAlignment="1">
      <alignment/>
    </xf>
    <xf numFmtId="0" fontId="0" fillId="33" borderId="29" xfId="52" applyFont="1" applyFill="1" applyBorder="1" applyAlignment="1">
      <alignment horizontal="center"/>
      <protection/>
    </xf>
    <xf numFmtId="49" fontId="2" fillId="41" borderId="58" xfId="0" applyNumberFormat="1" applyFont="1" applyFill="1" applyBorder="1" applyAlignment="1">
      <alignment horizontal="center"/>
    </xf>
    <xf numFmtId="171" fontId="2" fillId="41" borderId="55" xfId="0" applyNumberFormat="1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171" fontId="4" fillId="41" borderId="55" xfId="0" applyNumberFormat="1" applyFont="1" applyFill="1" applyBorder="1" applyAlignment="1">
      <alignment horizontal="right"/>
    </xf>
    <xf numFmtId="0" fontId="10" fillId="0" borderId="27" xfId="0" applyFont="1" applyFill="1" applyBorder="1" applyAlignment="1">
      <alignment horizontal="center"/>
    </xf>
    <xf numFmtId="171" fontId="4" fillId="41" borderId="27" xfId="0" applyNumberFormat="1" applyFont="1" applyFill="1" applyBorder="1" applyAlignment="1">
      <alignment horizontal="right"/>
    </xf>
    <xf numFmtId="49" fontId="4" fillId="41" borderId="54" xfId="0" applyNumberFormat="1" applyFont="1" applyFill="1" applyBorder="1" applyAlignment="1">
      <alignment horizontal="center"/>
    </xf>
    <xf numFmtId="0" fontId="0" fillId="41" borderId="57" xfId="0" applyFont="1" applyFill="1" applyBorder="1" applyAlignment="1">
      <alignment/>
    </xf>
    <xf numFmtId="184" fontId="43" fillId="43" borderId="36" xfId="0" applyNumberFormat="1" applyFont="1" applyFill="1" applyBorder="1" applyAlignment="1">
      <alignment horizontal="right"/>
    </xf>
    <xf numFmtId="4" fontId="4" fillId="43" borderId="71" xfId="0" applyNumberFormat="1" applyFont="1" applyFill="1" applyBorder="1" applyAlignment="1">
      <alignment/>
    </xf>
    <xf numFmtId="184" fontId="4" fillId="43" borderId="55" xfId="0" applyNumberFormat="1" applyFont="1" applyFill="1" applyBorder="1" applyAlignment="1">
      <alignment horizontal="right"/>
    </xf>
    <xf numFmtId="4" fontId="4" fillId="43" borderId="27" xfId="0" applyNumberFormat="1" applyFont="1" applyFill="1" applyBorder="1" applyAlignment="1">
      <alignment/>
    </xf>
    <xf numFmtId="184" fontId="43" fillId="43" borderId="28" xfId="0" applyNumberFormat="1" applyFont="1" applyFill="1" applyBorder="1" applyAlignment="1">
      <alignment horizontal="right"/>
    </xf>
    <xf numFmtId="171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171" fontId="1" fillId="0" borderId="27" xfId="0" applyNumberFormat="1" applyFont="1" applyFill="1" applyBorder="1" applyAlignment="1">
      <alignment horizontal="center"/>
    </xf>
    <xf numFmtId="184" fontId="4" fillId="43" borderId="27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0" fontId="10" fillId="0" borderId="55" xfId="0" applyFont="1" applyBorder="1" applyAlignment="1">
      <alignment/>
    </xf>
    <xf numFmtId="0" fontId="1" fillId="0" borderId="55" xfId="0" applyFont="1" applyBorder="1" applyAlignment="1">
      <alignment horizontal="center"/>
    </xf>
    <xf numFmtId="171" fontId="1" fillId="0" borderId="55" xfId="0" applyNumberFormat="1" applyFont="1" applyFill="1" applyBorder="1" applyAlignment="1">
      <alignment horizontal="right"/>
    </xf>
    <xf numFmtId="184" fontId="1" fillId="0" borderId="55" xfId="0" applyNumberFormat="1" applyFont="1" applyFill="1" applyBorder="1" applyAlignment="1">
      <alignment horizontal="distributed" vertical="center"/>
    </xf>
    <xf numFmtId="184" fontId="10" fillId="0" borderId="55" xfId="0" applyNumberFormat="1" applyFont="1" applyBorder="1" applyAlignment="1">
      <alignment horizontal="distributed" vertical="center"/>
    </xf>
    <xf numFmtId="10" fontId="10" fillId="0" borderId="56" xfId="59" applyNumberFormat="1" applyFont="1" applyBorder="1" applyAlignment="1">
      <alignment/>
    </xf>
    <xf numFmtId="4" fontId="4" fillId="43" borderId="60" xfId="0" applyNumberFormat="1" applyFont="1" applyFill="1" applyBorder="1" applyAlignment="1">
      <alignment/>
    </xf>
    <xf numFmtId="0" fontId="1" fillId="0" borderId="55" xfId="0" applyNumberFormat="1" applyFont="1" applyFill="1" applyBorder="1" applyAlignment="1">
      <alignment horizontal="center"/>
    </xf>
    <xf numFmtId="171" fontId="1" fillId="0" borderId="55" xfId="0" applyNumberFormat="1" applyFont="1" applyFill="1" applyBorder="1" applyAlignment="1">
      <alignment horizontal="center"/>
    </xf>
    <xf numFmtId="181" fontId="0" fillId="33" borderId="0" xfId="52" applyNumberFormat="1" applyFont="1" applyFill="1" applyAlignment="1">
      <alignment horizontal="center"/>
      <protection/>
    </xf>
    <xf numFmtId="39" fontId="9" fillId="33" borderId="57" xfId="52" applyNumberFormat="1" applyFont="1" applyFill="1" applyBorder="1">
      <alignment/>
      <protection/>
    </xf>
    <xf numFmtId="0" fontId="0" fillId="33" borderId="41" xfId="52" applyFill="1" applyBorder="1" applyAlignment="1">
      <alignment horizontal="center"/>
      <protection/>
    </xf>
    <xf numFmtId="0" fontId="0" fillId="33" borderId="27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33" xfId="52" applyFill="1" applyBorder="1" applyAlignment="1">
      <alignment horizontal="center" vertical="center"/>
      <protection/>
    </xf>
    <xf numFmtId="0" fontId="0" fillId="33" borderId="29" xfId="52" applyFont="1" applyFill="1" applyBorder="1" applyAlignment="1">
      <alignment horizontal="left"/>
      <protection/>
    </xf>
    <xf numFmtId="174" fontId="0" fillId="33" borderId="29" xfId="52" applyNumberFormat="1" applyFill="1" applyBorder="1" applyAlignment="1">
      <alignment horizontal="center" vertical="center"/>
      <protection/>
    </xf>
    <xf numFmtId="0" fontId="0" fillId="33" borderId="29" xfId="52" applyFill="1" applyBorder="1" applyAlignment="1">
      <alignment horizontal="center" vertical="center"/>
      <protection/>
    </xf>
    <xf numFmtId="4" fontId="0" fillId="33" borderId="29" xfId="52" applyNumberFormat="1" applyFont="1" applyFill="1" applyBorder="1" applyAlignment="1">
      <alignment horizontal="center" vertic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0" fontId="0" fillId="33" borderId="33" xfId="52" applyFont="1" applyFill="1" applyBorder="1" applyAlignment="1">
      <alignment horizontal="center" vertical="center"/>
      <protection/>
    </xf>
    <xf numFmtId="0" fontId="0" fillId="33" borderId="29" xfId="52" applyFill="1" applyBorder="1" applyAlignment="1">
      <alignment horizontal="left" vertical="center" wrapText="1"/>
      <protection/>
    </xf>
    <xf numFmtId="4" fontId="78" fillId="33" borderId="29" xfId="52" applyNumberFormat="1" applyFont="1" applyFill="1" applyBorder="1" applyAlignment="1">
      <alignment horizontal="center" vertical="center"/>
      <protection/>
    </xf>
    <xf numFmtId="174" fontId="0" fillId="33" borderId="29" xfId="52" applyNumberFormat="1" applyFont="1" applyFill="1" applyBorder="1" applyAlignment="1">
      <alignment horizontal="center" vertical="center"/>
      <protection/>
    </xf>
    <xf numFmtId="0" fontId="0" fillId="41" borderId="33" xfId="52" applyFont="1" applyFill="1" applyBorder="1" applyAlignment="1">
      <alignment horizontal="center"/>
      <protection/>
    </xf>
    <xf numFmtId="174" fontId="0" fillId="33" borderId="29" xfId="52" applyNumberFormat="1" applyFill="1" applyBorder="1" applyAlignment="1">
      <alignment horizontal="center"/>
      <protection/>
    </xf>
    <xf numFmtId="4" fontId="78" fillId="33" borderId="29" xfId="52" applyNumberFormat="1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0" fontId="0" fillId="33" borderId="29" xfId="52" applyFill="1" applyBorder="1" applyAlignment="1">
      <alignment horizontal="left" wrapText="1"/>
      <protection/>
    </xf>
    <xf numFmtId="0" fontId="0" fillId="33" borderId="33" xfId="52" applyFill="1" applyBorder="1" applyAlignment="1">
      <alignment horizontal="center"/>
      <protection/>
    </xf>
    <xf numFmtId="174" fontId="0" fillId="33" borderId="29" xfId="52" applyNumberFormat="1" applyFont="1" applyFill="1" applyBorder="1" applyAlignment="1">
      <alignment horizontal="center"/>
      <protection/>
    </xf>
    <xf numFmtId="10" fontId="0" fillId="33" borderId="29" xfId="52" applyNumberFormat="1" applyFont="1" applyFill="1" applyBorder="1">
      <alignment/>
      <protection/>
    </xf>
    <xf numFmtId="171" fontId="4" fillId="41" borderId="29" xfId="0" applyNumberFormat="1" applyFont="1" applyFill="1" applyBorder="1" applyAlignment="1">
      <alignment horizontal="center"/>
    </xf>
    <xf numFmtId="171" fontId="4" fillId="41" borderId="25" xfId="0" applyNumberFormat="1" applyFont="1" applyFill="1" applyBorder="1" applyAlignment="1">
      <alignment horizontal="center"/>
    </xf>
    <xf numFmtId="171" fontId="4" fillId="41" borderId="40" xfId="0" applyNumberFormat="1" applyFont="1" applyFill="1" applyBorder="1" applyAlignment="1">
      <alignment horizontal="center"/>
    </xf>
    <xf numFmtId="171" fontId="4" fillId="41" borderId="36" xfId="0" applyNumberFormat="1" applyFont="1" applyFill="1" applyBorder="1" applyAlignment="1">
      <alignment horizontal="center"/>
    </xf>
    <xf numFmtId="0" fontId="0" fillId="41" borderId="40" xfId="52" applyFill="1" applyBorder="1" applyAlignment="1">
      <alignment horizontal="center"/>
      <protection/>
    </xf>
    <xf numFmtId="0" fontId="0" fillId="41" borderId="55" xfId="0" applyFont="1" applyFill="1" applyBorder="1" applyAlignment="1">
      <alignment horizontal="center"/>
    </xf>
    <xf numFmtId="171" fontId="4" fillId="41" borderId="22" xfId="0" applyNumberFormat="1" applyFont="1" applyFill="1" applyBorder="1" applyAlignment="1">
      <alignment horizontal="center"/>
    </xf>
    <xf numFmtId="171" fontId="4" fillId="41" borderId="25" xfId="0" applyNumberFormat="1" applyFont="1" applyFill="1" applyBorder="1" applyAlignment="1">
      <alignment horizontal="left"/>
    </xf>
    <xf numFmtId="171" fontId="2" fillId="41" borderId="55" xfId="0" applyNumberFormat="1" applyFont="1" applyFill="1" applyBorder="1" applyAlignment="1">
      <alignment horizontal="right"/>
    </xf>
    <xf numFmtId="184" fontId="43" fillId="43" borderId="32" xfId="0" applyNumberFormat="1" applyFont="1" applyFill="1" applyBorder="1" applyAlignment="1">
      <alignment horizontal="right"/>
    </xf>
    <xf numFmtId="4" fontId="10" fillId="0" borderId="60" xfId="0" applyNumberFormat="1" applyFont="1" applyBorder="1" applyAlignment="1">
      <alignment horizontal="center"/>
    </xf>
    <xf numFmtId="184" fontId="4" fillId="43" borderId="75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41" borderId="25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/>
    </xf>
    <xf numFmtId="184" fontId="4" fillId="43" borderId="52" xfId="0" applyNumberFormat="1" applyFont="1" applyFill="1" applyBorder="1" applyAlignment="1">
      <alignment horizontal="right"/>
    </xf>
    <xf numFmtId="184" fontId="4" fillId="43" borderId="39" xfId="0" applyNumberFormat="1" applyFont="1" applyFill="1" applyBorder="1" applyAlignment="1">
      <alignment horizontal="right"/>
    </xf>
    <xf numFmtId="184" fontId="4" fillId="43" borderId="64" xfId="0" applyNumberFormat="1" applyFont="1" applyFill="1" applyBorder="1" applyAlignment="1">
      <alignment horizontal="center"/>
    </xf>
    <xf numFmtId="184" fontId="43" fillId="0" borderId="27" xfId="0" applyNumberFormat="1" applyFont="1" applyFill="1" applyBorder="1" applyAlignment="1">
      <alignment horizontal="right"/>
    </xf>
    <xf numFmtId="184" fontId="43" fillId="0" borderId="28" xfId="0" applyNumberFormat="1" applyFont="1" applyFill="1" applyBorder="1" applyAlignment="1">
      <alignment horizontal="right"/>
    </xf>
    <xf numFmtId="184" fontId="43" fillId="43" borderId="26" xfId="0" applyNumberFormat="1" applyFont="1" applyFill="1" applyBorder="1" applyAlignment="1">
      <alignment horizontal="right"/>
    </xf>
    <xf numFmtId="4" fontId="0" fillId="33" borderId="29" xfId="52" applyNumberFormat="1" applyFont="1" applyFill="1" applyBorder="1" applyAlignment="1">
      <alignment horizontal="center"/>
      <protection/>
    </xf>
    <xf numFmtId="0" fontId="0" fillId="33" borderId="33" xfId="52" applyFill="1" applyBorder="1" applyAlignment="1">
      <alignment horizontal="center" vertical="top"/>
      <protection/>
    </xf>
    <xf numFmtId="0" fontId="0" fillId="33" borderId="29" xfId="52" applyFill="1" applyBorder="1" applyAlignment="1">
      <alignment vertical="top" wrapText="1"/>
      <protection/>
    </xf>
    <xf numFmtId="0" fontId="0" fillId="33" borderId="29" xfId="52" applyNumberFormat="1" applyFont="1" applyFill="1" applyBorder="1" applyAlignment="1">
      <alignment horizontal="center"/>
      <protection/>
    </xf>
    <xf numFmtId="4" fontId="0" fillId="33" borderId="29" xfId="52" applyNumberFormat="1" applyFill="1" applyBorder="1" applyAlignment="1">
      <alignment horizontal="center" vertical="center"/>
      <protection/>
    </xf>
    <xf numFmtId="0" fontId="0" fillId="33" borderId="29" xfId="52" applyFill="1" applyBorder="1" applyAlignment="1">
      <alignment horizontal="left"/>
      <protection/>
    </xf>
    <xf numFmtId="0" fontId="9" fillId="33" borderId="16" xfId="52" applyFont="1" applyFill="1" applyBorder="1">
      <alignment/>
      <protection/>
    </xf>
    <xf numFmtId="0" fontId="0" fillId="41" borderId="34" xfId="52" applyFont="1" applyFill="1" applyBorder="1">
      <alignment/>
      <protection/>
    </xf>
    <xf numFmtId="0" fontId="0" fillId="41" borderId="0" xfId="52" applyFont="1" applyFill="1" applyBorder="1">
      <alignment/>
      <protection/>
    </xf>
    <xf numFmtId="17" fontId="0" fillId="33" borderId="35" xfId="52" applyNumberFormat="1" applyFill="1" applyBorder="1" applyAlignment="1">
      <alignment horizontal="center"/>
      <protection/>
    </xf>
    <xf numFmtId="0" fontId="9" fillId="33" borderId="0" xfId="52" applyFont="1" applyFill="1" applyBorder="1">
      <alignment/>
      <protection/>
    </xf>
    <xf numFmtId="0" fontId="9" fillId="33" borderId="35" xfId="52" applyFont="1" applyFill="1" applyBorder="1" applyAlignment="1">
      <alignment horizontal="center"/>
      <protection/>
    </xf>
    <xf numFmtId="0" fontId="0" fillId="41" borderId="30" xfId="52" applyFill="1" applyBorder="1" applyAlignment="1">
      <alignment horizontal="center"/>
      <protection/>
    </xf>
    <xf numFmtId="185" fontId="0" fillId="33" borderId="35" xfId="52" applyNumberFormat="1" applyFont="1" applyFill="1" applyBorder="1" applyAlignment="1">
      <alignment horizontal="center"/>
      <protection/>
    </xf>
    <xf numFmtId="4" fontId="0" fillId="33" borderId="30" xfId="52" applyNumberFormat="1" applyFont="1" applyFill="1" applyBorder="1" applyAlignment="1">
      <alignment horizontal="center"/>
      <protection/>
    </xf>
    <xf numFmtId="0" fontId="13" fillId="33" borderId="62" xfId="52" applyFont="1" applyFill="1" applyBorder="1" applyAlignment="1">
      <alignment horizontal="center" vertical="center"/>
      <protection/>
    </xf>
    <xf numFmtId="4" fontId="0" fillId="33" borderId="80" xfId="52" applyNumberFormat="1" applyFont="1" applyFill="1" applyBorder="1" applyAlignment="1">
      <alignment horizontal="center" vertical="center"/>
      <protection/>
    </xf>
    <xf numFmtId="0" fontId="0" fillId="33" borderId="34" xfId="52" applyFill="1" applyBorder="1" applyAlignment="1">
      <alignment horizontal="center" vertical="center"/>
      <protection/>
    </xf>
    <xf numFmtId="4" fontId="0" fillId="33" borderId="35" xfId="52" applyNumberFormat="1" applyFill="1" applyBorder="1" applyAlignment="1">
      <alignment horizontal="center" vertical="center"/>
      <protection/>
    </xf>
    <xf numFmtId="4" fontId="0" fillId="33" borderId="35" xfId="52" applyNumberFormat="1" applyFill="1" applyBorder="1" applyAlignment="1">
      <alignment horizontal="center"/>
      <protection/>
    </xf>
    <xf numFmtId="0" fontId="0" fillId="33" borderId="81" xfId="52" applyFill="1" applyBorder="1" applyAlignment="1">
      <alignment horizontal="center"/>
      <protection/>
    </xf>
    <xf numFmtId="4" fontId="0" fillId="33" borderId="82" xfId="52" applyNumberFormat="1" applyFill="1" applyBorder="1" applyAlignment="1">
      <alignment horizontal="center"/>
      <protection/>
    </xf>
    <xf numFmtId="4" fontId="0" fillId="33" borderId="26" xfId="52" applyNumberFormat="1" applyFill="1" applyBorder="1" applyAlignment="1">
      <alignment horizontal="center"/>
      <protection/>
    </xf>
    <xf numFmtId="0" fontId="0" fillId="33" borderId="54" xfId="52" applyFill="1" applyBorder="1" applyAlignment="1">
      <alignment horizontal="center"/>
      <protection/>
    </xf>
    <xf numFmtId="0" fontId="0" fillId="33" borderId="36" xfId="52" applyFill="1" applyBorder="1" applyAlignment="1">
      <alignment horizontal="center"/>
      <protection/>
    </xf>
    <xf numFmtId="4" fontId="0" fillId="33" borderId="56" xfId="52" applyNumberForma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1" fillId="0" borderId="0" xfId="55" applyFont="1">
      <alignment/>
      <protection/>
    </xf>
    <xf numFmtId="0" fontId="9" fillId="0" borderId="12" xfId="55" applyNumberFormat="1" applyFont="1" applyFill="1" applyBorder="1" applyAlignment="1">
      <alignment horizontal="left"/>
      <protection/>
    </xf>
    <xf numFmtId="0" fontId="0" fillId="0" borderId="0" xfId="55">
      <alignment/>
      <protection/>
    </xf>
    <xf numFmtId="0" fontId="9" fillId="0" borderId="13" xfId="55" applyNumberFormat="1" applyFont="1" applyFill="1" applyBorder="1" applyAlignment="1">
      <alignment horizontal="right"/>
      <protection/>
    </xf>
    <xf numFmtId="0" fontId="9" fillId="0" borderId="0" xfId="54" applyFont="1">
      <alignment/>
      <protection/>
    </xf>
    <xf numFmtId="0" fontId="0" fillId="46" borderId="57" xfId="54" applyFont="1" applyFill="1" applyBorder="1" applyAlignment="1">
      <alignment horizontal="center"/>
      <protection/>
    </xf>
    <xf numFmtId="0" fontId="0" fillId="46" borderId="13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5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9" fillId="0" borderId="41" xfId="54" applyFont="1" applyBorder="1" applyAlignment="1">
      <alignment horizontal="center"/>
      <protection/>
    </xf>
    <xf numFmtId="0" fontId="9" fillId="0" borderId="27" xfId="54" applyFont="1" applyBorder="1">
      <alignment/>
      <protection/>
    </xf>
    <xf numFmtId="0" fontId="0" fillId="0" borderId="33" xfId="54" applyBorder="1" applyAlignment="1">
      <alignment horizontal="center"/>
      <protection/>
    </xf>
    <xf numFmtId="0" fontId="0" fillId="0" borderId="29" xfId="54" applyBorder="1">
      <alignment/>
      <protection/>
    </xf>
    <xf numFmtId="10" fontId="0" fillId="41" borderId="30" xfId="60" applyNumberFormat="1" applyFill="1" applyBorder="1" applyAlignment="1">
      <alignment horizontal="center"/>
    </xf>
    <xf numFmtId="0" fontId="0" fillId="0" borderId="33" xfId="54" applyFont="1" applyBorder="1" applyAlignment="1">
      <alignment horizontal="center"/>
      <protection/>
    </xf>
    <xf numFmtId="0" fontId="9" fillId="0" borderId="22" xfId="54" applyFont="1" applyBorder="1" applyAlignment="1">
      <alignment horizontal="center"/>
      <protection/>
    </xf>
    <xf numFmtId="0" fontId="9" fillId="0" borderId="25" xfId="54" applyFont="1" applyBorder="1">
      <alignment/>
      <protection/>
    </xf>
    <xf numFmtId="0" fontId="0" fillId="0" borderId="29" xfId="54" applyFont="1" applyBorder="1">
      <alignment/>
      <protection/>
    </xf>
    <xf numFmtId="0" fontId="0" fillId="0" borderId="54" xfId="54" applyFont="1" applyBorder="1" applyAlignment="1">
      <alignment horizontal="center"/>
      <protection/>
    </xf>
    <xf numFmtId="0" fontId="0" fillId="0" borderId="40" xfId="54" applyFont="1" applyBorder="1">
      <alignment/>
      <protection/>
    </xf>
    <xf numFmtId="0" fontId="0" fillId="0" borderId="40" xfId="54" applyFont="1" applyBorder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36" fillId="0" borderId="0" xfId="54" applyFont="1">
      <alignment/>
      <protection/>
    </xf>
    <xf numFmtId="0" fontId="0" fillId="0" borderId="0" xfId="54" applyBorder="1">
      <alignment/>
      <protection/>
    </xf>
    <xf numFmtId="0" fontId="0" fillId="33" borderId="35" xfId="52" applyFill="1" applyBorder="1">
      <alignment/>
      <protection/>
    </xf>
    <xf numFmtId="0" fontId="0" fillId="0" borderId="0" xfId="52" applyBorder="1">
      <alignment/>
      <protection/>
    </xf>
    <xf numFmtId="39" fontId="9" fillId="33" borderId="0" xfId="52" applyNumberFormat="1" applyFont="1" applyFill="1" applyBorder="1">
      <alignment/>
      <protection/>
    </xf>
    <xf numFmtId="0" fontId="0" fillId="41" borderId="30" xfId="52" applyFill="1" applyBorder="1" applyAlignment="1">
      <alignment horizontal="center"/>
      <protection/>
    </xf>
    <xf numFmtId="181" fontId="0" fillId="33" borderId="35" xfId="52" applyNumberFormat="1" applyFont="1" applyFill="1" applyBorder="1" applyAlignment="1">
      <alignment horizontal="center"/>
      <protection/>
    </xf>
    <xf numFmtId="0" fontId="0" fillId="41" borderId="58" xfId="52" applyFill="1" applyBorder="1" applyAlignment="1">
      <alignment horizontal="center"/>
      <protection/>
    </xf>
    <xf numFmtId="0" fontId="0" fillId="33" borderId="56" xfId="52" applyFill="1" applyBorder="1" applyAlignment="1">
      <alignment horizontal="center"/>
      <protection/>
    </xf>
    <xf numFmtId="181" fontId="23" fillId="41" borderId="12" xfId="0" applyNumberFormat="1" applyFont="1" applyFill="1" applyBorder="1" applyAlignment="1">
      <alignment/>
    </xf>
    <xf numFmtId="49" fontId="1" fillId="41" borderId="34" xfId="0" applyNumberFormat="1" applyFont="1" applyFill="1" applyBorder="1" applyAlignment="1">
      <alignment horizontal="center"/>
    </xf>
    <xf numFmtId="171" fontId="4" fillId="41" borderId="35" xfId="0" applyNumberFormat="1" applyFont="1" applyFill="1" applyBorder="1" applyAlignment="1">
      <alignment horizontal="center"/>
    </xf>
    <xf numFmtId="10" fontId="10" fillId="0" borderId="57" xfId="0" applyNumberFormat="1" applyFont="1" applyBorder="1" applyAlignment="1">
      <alignment horizontal="left"/>
    </xf>
    <xf numFmtId="10" fontId="0" fillId="33" borderId="29" xfId="52" applyNumberFormat="1" applyFont="1" applyFill="1" applyBorder="1" applyAlignment="1">
      <alignment horizontal="left" indent="2"/>
      <protection/>
    </xf>
    <xf numFmtId="184" fontId="43" fillId="43" borderId="29" xfId="0" applyNumberFormat="1" applyFont="1" applyFill="1" applyBorder="1" applyAlignment="1">
      <alignment horizontal="right"/>
    </xf>
    <xf numFmtId="184" fontId="43" fillId="0" borderId="60" xfId="0" applyNumberFormat="1" applyFont="1" applyFill="1" applyBorder="1" applyAlignment="1">
      <alignment horizontal="right"/>
    </xf>
    <xf numFmtId="184" fontId="4" fillId="43" borderId="75" xfId="0" applyNumberFormat="1" applyFont="1" applyFill="1" applyBorder="1" applyAlignment="1">
      <alignment horizontal="right"/>
    </xf>
    <xf numFmtId="184" fontId="4" fillId="43" borderId="24" xfId="0" applyNumberFormat="1" applyFont="1" applyFill="1" applyBorder="1" applyAlignment="1">
      <alignment horizontal="right"/>
    </xf>
    <xf numFmtId="184" fontId="79" fillId="43" borderId="75" xfId="0" applyNumberFormat="1" applyFont="1" applyFill="1" applyBorder="1" applyAlignment="1">
      <alignment horizontal="right"/>
    </xf>
    <xf numFmtId="171" fontId="1" fillId="0" borderId="83" xfId="0" applyNumberFormat="1" applyFont="1" applyFill="1" applyBorder="1" applyAlignment="1">
      <alignment horizontal="left" vertical="justify"/>
    </xf>
    <xf numFmtId="10" fontId="10" fillId="0" borderId="51" xfId="59" applyNumberFormat="1" applyFont="1" applyBorder="1" applyAlignment="1">
      <alignment horizontal="center"/>
    </xf>
    <xf numFmtId="166" fontId="1" fillId="0" borderId="29" xfId="0" applyNumberFormat="1" applyFont="1" applyBorder="1" applyAlignment="1">
      <alignment horizontal="distributed" vertical="center"/>
    </xf>
    <xf numFmtId="10" fontId="1" fillId="0" borderId="29" xfId="59" applyNumberFormat="1" applyFont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166" fontId="10" fillId="0" borderId="27" xfId="0" applyNumberFormat="1" applyFont="1" applyBorder="1" applyAlignment="1">
      <alignment horizontal="distributed" vertical="center"/>
    </xf>
    <xf numFmtId="10" fontId="10" fillId="0" borderId="27" xfId="59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distributed" vertical="center"/>
    </xf>
    <xf numFmtId="10" fontId="1" fillId="0" borderId="25" xfId="59" applyNumberFormat="1" applyFont="1" applyBorder="1" applyAlignment="1">
      <alignment horizontal="center"/>
    </xf>
    <xf numFmtId="166" fontId="1" fillId="0" borderId="40" xfId="0" applyNumberFormat="1" applyFont="1" applyBorder="1" applyAlignment="1">
      <alignment horizontal="distributed" vertical="center"/>
    </xf>
    <xf numFmtId="10" fontId="1" fillId="0" borderId="40" xfId="59" applyNumberFormat="1" applyFont="1" applyBorder="1" applyAlignment="1">
      <alignment horizontal="center"/>
    </xf>
    <xf numFmtId="171" fontId="1" fillId="0" borderId="29" xfId="0" applyNumberFormat="1" applyFont="1" applyFill="1" applyBorder="1" applyAlignment="1">
      <alignment horizontal="left" vertical="justify"/>
    </xf>
    <xf numFmtId="0" fontId="10" fillId="0" borderId="38" xfId="55" applyFont="1" applyBorder="1">
      <alignment/>
      <protection/>
    </xf>
    <xf numFmtId="0" fontId="1" fillId="0" borderId="16" xfId="55" applyFont="1" applyBorder="1">
      <alignment/>
      <protection/>
    </xf>
    <xf numFmtId="0" fontId="1" fillId="0" borderId="49" xfId="55" applyFont="1" applyBorder="1">
      <alignment/>
      <protection/>
    </xf>
    <xf numFmtId="0" fontId="9" fillId="0" borderId="34" xfId="55" applyFont="1" applyBorder="1">
      <alignment/>
      <protection/>
    </xf>
    <xf numFmtId="0" fontId="0" fillId="0" borderId="0" xfId="55" applyBorder="1">
      <alignment/>
      <protection/>
    </xf>
    <xf numFmtId="0" fontId="0" fillId="0" borderId="35" xfId="55" applyBorder="1">
      <alignment/>
      <protection/>
    </xf>
    <xf numFmtId="0" fontId="9" fillId="0" borderId="13" xfId="55" applyNumberFormat="1" applyFont="1" applyFill="1" applyBorder="1" applyAlignment="1">
      <alignment horizontal="center"/>
      <protection/>
    </xf>
    <xf numFmtId="0" fontId="0" fillId="41" borderId="0" xfId="55" applyFill="1" applyBorder="1">
      <alignment/>
      <protection/>
    </xf>
    <xf numFmtId="0" fontId="9" fillId="0" borderId="34" xfId="54" applyFont="1" applyBorder="1">
      <alignment/>
      <protection/>
    </xf>
    <xf numFmtId="0" fontId="0" fillId="0" borderId="35" xfId="54" applyBorder="1">
      <alignment/>
      <protection/>
    </xf>
    <xf numFmtId="4" fontId="2" fillId="0" borderId="84" xfId="54" applyNumberFormat="1" applyFont="1" applyBorder="1" applyAlignment="1">
      <alignment horizontal="center"/>
      <protection/>
    </xf>
    <xf numFmtId="4" fontId="0" fillId="47" borderId="72" xfId="54" applyNumberFormat="1" applyFont="1" applyFill="1" applyBorder="1" applyAlignment="1">
      <alignment horizontal="center"/>
      <protection/>
    </xf>
    <xf numFmtId="4" fontId="0" fillId="48" borderId="72" xfId="54" applyNumberFormat="1" applyFont="1" applyFill="1" applyBorder="1" applyAlignment="1">
      <alignment horizontal="center"/>
      <protection/>
    </xf>
    <xf numFmtId="4" fontId="0" fillId="0" borderId="59" xfId="54" applyNumberFormat="1" applyBorder="1" applyAlignment="1">
      <alignment horizontal="center"/>
      <protection/>
    </xf>
    <xf numFmtId="0" fontId="0" fillId="0" borderId="0" xfId="54" applyFont="1" applyBorder="1">
      <alignment/>
      <protection/>
    </xf>
    <xf numFmtId="10" fontId="0" fillId="41" borderId="43" xfId="60" applyNumberFormat="1" applyFill="1" applyBorder="1" applyAlignment="1">
      <alignment horizontal="center"/>
    </xf>
    <xf numFmtId="0" fontId="9" fillId="0" borderId="0" xfId="54" applyFont="1" applyBorder="1">
      <alignment/>
      <protection/>
    </xf>
    <xf numFmtId="0" fontId="9" fillId="0" borderId="35" xfId="54" applyFont="1" applyBorder="1">
      <alignment/>
      <protection/>
    </xf>
    <xf numFmtId="10" fontId="0" fillId="41" borderId="59" xfId="60" applyNumberFormat="1" applyFill="1" applyBorder="1" applyAlignment="1">
      <alignment horizontal="center"/>
    </xf>
    <xf numFmtId="10" fontId="0" fillId="0" borderId="33" xfId="54" applyNumberFormat="1" applyBorder="1">
      <alignment/>
      <protection/>
    </xf>
    <xf numFmtId="10" fontId="0" fillId="0" borderId="29" xfId="54" applyNumberFormat="1" applyBorder="1">
      <alignment/>
      <protection/>
    </xf>
    <xf numFmtId="10" fontId="0" fillId="0" borderId="30" xfId="54" applyNumberFormat="1" applyBorder="1">
      <alignment/>
      <protection/>
    </xf>
    <xf numFmtId="0" fontId="9" fillId="43" borderId="41" xfId="54" applyFont="1" applyFill="1" applyBorder="1">
      <alignment/>
      <protection/>
    </xf>
    <xf numFmtId="0" fontId="0" fillId="0" borderId="28" xfId="54" applyBorder="1">
      <alignment/>
      <protection/>
    </xf>
    <xf numFmtId="10" fontId="0" fillId="0" borderId="22" xfId="54" applyNumberFormat="1" applyBorder="1" applyAlignment="1">
      <alignment horizontal="center"/>
      <protection/>
    </xf>
    <xf numFmtId="0" fontId="0" fillId="0" borderId="26" xfId="54" applyBorder="1">
      <alignment/>
      <protection/>
    </xf>
    <xf numFmtId="0" fontId="9" fillId="43" borderId="22" xfId="54" applyFont="1" applyFill="1" applyBorder="1">
      <alignment/>
      <protection/>
    </xf>
    <xf numFmtId="10" fontId="0" fillId="47" borderId="26" xfId="54" applyNumberFormat="1" applyFill="1" applyBorder="1">
      <alignment/>
      <protection/>
    </xf>
    <xf numFmtId="10" fontId="9" fillId="41" borderId="44" xfId="60" applyNumberFormat="1" applyFont="1" applyFill="1" applyBorder="1" applyAlignment="1">
      <alignment horizontal="center"/>
    </xf>
    <xf numFmtId="2" fontId="0" fillId="0" borderId="0" xfId="54" applyNumberFormat="1" applyBorder="1">
      <alignment/>
      <protection/>
    </xf>
    <xf numFmtId="10" fontId="9" fillId="48" borderId="44" xfId="60" applyNumberFormat="1" applyFont="1" applyFill="1" applyBorder="1" applyAlignment="1">
      <alignment horizontal="center"/>
    </xf>
    <xf numFmtId="10" fontId="10" fillId="0" borderId="84" xfId="60" applyNumberFormat="1" applyFont="1" applyFill="1" applyBorder="1" applyAlignment="1">
      <alignment horizontal="center"/>
    </xf>
    <xf numFmtId="0" fontId="10" fillId="0" borderId="34" xfId="54" applyFont="1" applyBorder="1">
      <alignment/>
      <protection/>
    </xf>
    <xf numFmtId="0" fontId="1" fillId="0" borderId="0" xfId="54" applyFont="1" applyBorder="1">
      <alignment/>
      <protection/>
    </xf>
    <xf numFmtId="0" fontId="1" fillId="0" borderId="35" xfId="54" applyFont="1" applyBorder="1">
      <alignment/>
      <protection/>
    </xf>
    <xf numFmtId="0" fontId="8" fillId="0" borderId="34" xfId="54" applyFont="1" applyBorder="1">
      <alignment/>
      <protection/>
    </xf>
    <xf numFmtId="0" fontId="36" fillId="0" borderId="0" xfId="54" applyFont="1" applyBorder="1">
      <alignment/>
      <protection/>
    </xf>
    <xf numFmtId="0" fontId="36" fillId="0" borderId="35" xfId="54" applyFont="1" applyBorder="1">
      <alignment/>
      <protection/>
    </xf>
    <xf numFmtId="0" fontId="37" fillId="0" borderId="34" xfId="52" applyFont="1" applyBorder="1" applyAlignment="1">
      <alignment/>
      <protection/>
    </xf>
    <xf numFmtId="0" fontId="38" fillId="0" borderId="53" xfId="52" applyFont="1" applyBorder="1" applyAlignment="1">
      <alignment/>
      <protection/>
    </xf>
    <xf numFmtId="0" fontId="0" fillId="0" borderId="23" xfId="54" applyBorder="1">
      <alignment/>
      <protection/>
    </xf>
    <xf numFmtId="0" fontId="0" fillId="0" borderId="50" xfId="54" applyBorder="1">
      <alignment/>
      <protection/>
    </xf>
    <xf numFmtId="49" fontId="2" fillId="0" borderId="41" xfId="0" applyNumberFormat="1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71" fontId="2" fillId="0" borderId="27" xfId="0" applyNumberFormat="1" applyFont="1" applyFill="1" applyBorder="1" applyAlignment="1">
      <alignment horizontal="right"/>
    </xf>
    <xf numFmtId="10" fontId="9" fillId="49" borderId="44" xfId="60" applyNumberFormat="1" applyFont="1" applyFill="1" applyBorder="1" applyAlignment="1">
      <alignment horizontal="center"/>
    </xf>
    <xf numFmtId="4" fontId="0" fillId="49" borderId="72" xfId="54" applyNumberFormat="1" applyFont="1" applyFill="1" applyBorder="1" applyAlignment="1">
      <alignment horizontal="center"/>
      <protection/>
    </xf>
    <xf numFmtId="10" fontId="0" fillId="34" borderId="43" xfId="60" applyNumberFormat="1" applyFill="1" applyBorder="1" applyAlignment="1">
      <alignment horizontal="center"/>
    </xf>
    <xf numFmtId="4" fontId="0" fillId="34" borderId="23" xfId="54" applyNumberFormat="1" applyFont="1" applyFill="1" applyBorder="1" applyAlignment="1">
      <alignment horizontal="center"/>
      <protection/>
    </xf>
    <xf numFmtId="10" fontId="9" fillId="50" borderId="44" xfId="60" applyNumberFormat="1" applyFont="1" applyFill="1" applyBorder="1" applyAlignment="1">
      <alignment horizontal="center"/>
    </xf>
    <xf numFmtId="4" fontId="0" fillId="50" borderId="23" xfId="54" applyNumberFormat="1" applyFont="1" applyFill="1" applyBorder="1" applyAlignment="1">
      <alignment horizontal="center"/>
      <protection/>
    </xf>
    <xf numFmtId="0" fontId="9" fillId="37" borderId="53" xfId="54" applyFont="1" applyFill="1" applyBorder="1">
      <alignment/>
      <protection/>
    </xf>
    <xf numFmtId="10" fontId="0" fillId="50" borderId="25" xfId="54" applyNumberFormat="1" applyFill="1" applyBorder="1">
      <alignment/>
      <protection/>
    </xf>
    <xf numFmtId="0" fontId="0" fillId="51" borderId="41" xfId="54" applyFill="1" applyBorder="1">
      <alignment/>
      <protection/>
    </xf>
    <xf numFmtId="171" fontId="4" fillId="41" borderId="29" xfId="0" applyNumberFormat="1" applyFont="1" applyFill="1" applyBorder="1" applyAlignment="1">
      <alignment horizontal="center"/>
    </xf>
    <xf numFmtId="171" fontId="4" fillId="41" borderId="25" xfId="0" applyNumberFormat="1" applyFont="1" applyFill="1" applyBorder="1" applyAlignment="1">
      <alignment horizontal="center"/>
    </xf>
    <xf numFmtId="171" fontId="4" fillId="41" borderId="40" xfId="0" applyNumberFormat="1" applyFont="1" applyFill="1" applyBorder="1" applyAlignment="1">
      <alignment horizontal="right"/>
    </xf>
    <xf numFmtId="49" fontId="1" fillId="0" borderId="27" xfId="0" applyNumberFormat="1" applyFont="1" applyFill="1" applyBorder="1" applyAlignment="1">
      <alignment horizontal="center" vertical="center"/>
    </xf>
    <xf numFmtId="171" fontId="1" fillId="0" borderId="27" xfId="0" applyNumberFormat="1" applyFont="1" applyFill="1" applyBorder="1" applyAlignment="1">
      <alignment horizontal="left" vertical="center"/>
    </xf>
    <xf numFmtId="171" fontId="1" fillId="0" borderId="40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7" xfId="0" applyFont="1" applyBorder="1" applyAlignment="1">
      <alignment horizontal="center"/>
    </xf>
    <xf numFmtId="4" fontId="10" fillId="0" borderId="19" xfId="0" applyNumberFormat="1" applyFont="1" applyBorder="1" applyAlignment="1">
      <alignment horizontal="right"/>
    </xf>
    <xf numFmtId="184" fontId="10" fillId="0" borderId="12" xfId="0" applyNumberFormat="1" applyFont="1" applyBorder="1" applyAlignment="1">
      <alignment horizontal="distributed" vertical="center"/>
    </xf>
    <xf numFmtId="184" fontId="10" fillId="0" borderId="15" xfId="0" applyNumberFormat="1" applyFont="1" applyBorder="1" applyAlignment="1">
      <alignment horizontal="distributed" vertical="center"/>
    </xf>
    <xf numFmtId="10" fontId="10" fillId="0" borderId="21" xfId="59" applyNumberFormat="1" applyFont="1" applyBorder="1" applyAlignment="1">
      <alignment horizontal="right"/>
    </xf>
    <xf numFmtId="49" fontId="10" fillId="0" borderId="58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/>
    </xf>
    <xf numFmtId="166" fontId="10" fillId="0" borderId="55" xfId="0" applyNumberFormat="1" applyFont="1" applyBorder="1" applyAlignment="1">
      <alignment horizontal="distributed" vertical="center"/>
    </xf>
    <xf numFmtId="10" fontId="10" fillId="0" borderId="55" xfId="59" applyNumberFormat="1" applyFont="1" applyBorder="1" applyAlignment="1">
      <alignment horizontal="center"/>
    </xf>
    <xf numFmtId="10" fontId="10" fillId="0" borderId="56" xfId="59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0" fillId="33" borderId="53" xfId="52" applyFill="1" applyBorder="1" applyAlignment="1">
      <alignment horizontal="center"/>
      <protection/>
    </xf>
    <xf numFmtId="0" fontId="0" fillId="33" borderId="23" xfId="52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0" fontId="10" fillId="0" borderId="41" xfId="52" applyFont="1" applyFill="1" applyBorder="1" applyAlignment="1">
      <alignment horizontal="center" vertical="center" wrapText="1"/>
      <protection/>
    </xf>
    <xf numFmtId="0" fontId="10" fillId="0" borderId="28" xfId="52" applyFont="1" applyFill="1" applyBorder="1" applyAlignment="1">
      <alignment horizontal="center" vertical="center" wrapText="1"/>
      <protection/>
    </xf>
    <xf numFmtId="175" fontId="10" fillId="33" borderId="79" xfId="52" applyNumberFormat="1" applyFont="1" applyFill="1" applyBorder="1" applyAlignment="1">
      <alignment horizontal="left" vertical="top" wrapText="1"/>
      <protection/>
    </xf>
    <xf numFmtId="175" fontId="10" fillId="33" borderId="37" xfId="52" applyNumberFormat="1" applyFont="1" applyFill="1" applyBorder="1" applyAlignment="1">
      <alignment horizontal="left" vertical="top" wrapText="1"/>
      <protection/>
    </xf>
    <xf numFmtId="175" fontId="10" fillId="33" borderId="61" xfId="52" applyNumberFormat="1" applyFont="1" applyFill="1" applyBorder="1" applyAlignment="1">
      <alignment horizontal="left" vertical="top" wrapText="1"/>
      <protection/>
    </xf>
    <xf numFmtId="0" fontId="0" fillId="33" borderId="79" xfId="52" applyFont="1" applyFill="1" applyBorder="1" applyAlignment="1">
      <alignment horizontal="left"/>
      <protection/>
    </xf>
    <xf numFmtId="0" fontId="0" fillId="33" borderId="37" xfId="52" applyFill="1" applyBorder="1" applyAlignment="1">
      <alignment horizontal="left"/>
      <protection/>
    </xf>
    <xf numFmtId="0" fontId="0" fillId="33" borderId="60" xfId="52" applyFill="1" applyBorder="1" applyAlignment="1">
      <alignment horizontal="left"/>
      <protection/>
    </xf>
    <xf numFmtId="49" fontId="0" fillId="33" borderId="55" xfId="52" applyNumberFormat="1" applyFill="1" applyBorder="1" applyAlignment="1">
      <alignment horizontal="left"/>
      <protection/>
    </xf>
    <xf numFmtId="49" fontId="0" fillId="33" borderId="56" xfId="52" applyNumberFormat="1" applyFill="1" applyBorder="1" applyAlignment="1">
      <alignment horizontal="left"/>
      <protection/>
    </xf>
    <xf numFmtId="0" fontId="2" fillId="33" borderId="34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35" xfId="52" applyFont="1" applyFill="1" applyBorder="1" applyAlignment="1">
      <alignment horizontal="center"/>
      <protection/>
    </xf>
    <xf numFmtId="0" fontId="10" fillId="0" borderId="22" xfId="52" applyNumberFormat="1" applyFont="1" applyFill="1" applyBorder="1" applyAlignment="1">
      <alignment horizontal="center" vertical="center" wrapText="1"/>
      <protection/>
    </xf>
    <xf numFmtId="0" fontId="10" fillId="0" borderId="44" xfId="52" applyNumberFormat="1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3" xfId="52" applyFont="1" applyBorder="1" applyAlignment="1">
      <alignment horizontal="left"/>
      <protection/>
    </xf>
    <xf numFmtId="0" fontId="2" fillId="0" borderId="78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/>
      <protection/>
    </xf>
    <xf numFmtId="0" fontId="10" fillId="0" borderId="41" xfId="52" applyNumberFormat="1" applyFont="1" applyFill="1" applyBorder="1" applyAlignment="1">
      <alignment horizontal="center" vertical="center" wrapText="1"/>
      <protection/>
    </xf>
    <xf numFmtId="0" fontId="10" fillId="0" borderId="59" xfId="52" applyNumberFormat="1" applyFont="1" applyFill="1" applyBorder="1" applyAlignment="1">
      <alignment horizontal="center" vertical="center" wrapText="1"/>
      <protection/>
    </xf>
    <xf numFmtId="0" fontId="0" fillId="33" borderId="34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0" fontId="10" fillId="0" borderId="16" xfId="52" applyFont="1" applyFill="1" applyBorder="1" applyAlignment="1">
      <alignment horizontal="center" vertical="center" wrapText="1"/>
      <protection/>
    </xf>
    <xf numFmtId="0" fontId="10" fillId="0" borderId="23" xfId="52" applyFont="1" applyFill="1" applyBorder="1" applyAlignment="1">
      <alignment horizontal="center" vertical="center" wrapText="1"/>
      <protection/>
    </xf>
    <xf numFmtId="49" fontId="0" fillId="33" borderId="43" xfId="52" applyNumberFormat="1" applyFill="1" applyBorder="1" applyAlignment="1">
      <alignment horizontal="left"/>
      <protection/>
    </xf>
    <xf numFmtId="49" fontId="0" fillId="33" borderId="85" xfId="52" applyNumberFormat="1" applyFill="1" applyBorder="1" applyAlignment="1">
      <alignment horizontal="left"/>
      <protection/>
    </xf>
    <xf numFmtId="0" fontId="2" fillId="0" borderId="78" xfId="52" applyFont="1" applyBorder="1" applyAlignment="1">
      <alignment horizontal="center"/>
      <protection/>
    </xf>
    <xf numFmtId="0" fontId="10" fillId="0" borderId="51" xfId="52" applyFont="1" applyFill="1" applyBorder="1" applyAlignment="1">
      <alignment horizontal="center" vertical="center" wrapText="1"/>
      <protection/>
    </xf>
    <xf numFmtId="0" fontId="10" fillId="0" borderId="72" xfId="52" applyFont="1" applyFill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/>
      <protection/>
    </xf>
    <xf numFmtId="0" fontId="23" fillId="0" borderId="16" xfId="56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78" xfId="56" applyFont="1" applyBorder="1" applyAlignment="1">
      <alignment horizont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78" xfId="57" applyFont="1" applyBorder="1" applyAlignment="1">
      <alignment horizontal="center"/>
      <protection/>
    </xf>
    <xf numFmtId="0" fontId="31" fillId="38" borderId="33" xfId="53" applyFont="1" applyFill="1" applyBorder="1" applyAlignment="1">
      <alignment horizontal="left"/>
      <protection/>
    </xf>
    <xf numFmtId="0" fontId="31" fillId="38" borderId="29" xfId="53" applyFont="1" applyFill="1" applyBorder="1" applyAlignment="1">
      <alignment horizontal="left"/>
      <protection/>
    </xf>
    <xf numFmtId="0" fontId="31" fillId="39" borderId="22" xfId="53" applyFont="1" applyFill="1" applyBorder="1" applyAlignment="1">
      <alignment horizontal="left"/>
      <protection/>
    </xf>
    <xf numFmtId="0" fontId="31" fillId="39" borderId="25" xfId="53" applyFont="1" applyFill="1" applyBorder="1" applyAlignment="1">
      <alignment horizontal="left"/>
      <protection/>
    </xf>
    <xf numFmtId="170" fontId="31" fillId="0" borderId="58" xfId="47" applyFont="1" applyBorder="1" applyAlignment="1">
      <alignment horizontal="left"/>
    </xf>
    <xf numFmtId="170" fontId="31" fillId="0" borderId="55" xfId="47" applyFont="1" applyBorder="1" applyAlignment="1">
      <alignment horizontal="left"/>
    </xf>
    <xf numFmtId="170" fontId="31" fillId="0" borderId="47" xfId="47" applyFont="1" applyBorder="1" applyAlignment="1">
      <alignment horizontal="left"/>
    </xf>
    <xf numFmtId="170" fontId="31" fillId="0" borderId="33" xfId="47" applyFont="1" applyBorder="1" applyAlignment="1">
      <alignment horizontal="left"/>
    </xf>
    <xf numFmtId="170" fontId="31" fillId="0" borderId="29" xfId="47" applyFont="1" applyBorder="1" applyAlignment="1">
      <alignment horizontal="left"/>
    </xf>
    <xf numFmtId="170" fontId="31" fillId="0" borderId="43" xfId="47" applyFont="1" applyBorder="1" applyAlignment="1">
      <alignment horizontal="left"/>
    </xf>
    <xf numFmtId="0" fontId="20" fillId="0" borderId="0" xfId="56" applyFont="1" applyBorder="1" applyAlignment="1">
      <alignment horizontal="center"/>
      <protection/>
    </xf>
    <xf numFmtId="49" fontId="2" fillId="0" borderId="12" xfId="56" applyNumberFormat="1" applyFont="1" applyBorder="1" applyAlignment="1">
      <alignment horizontal="center"/>
      <protection/>
    </xf>
    <xf numFmtId="49" fontId="2" fillId="0" borderId="13" xfId="56" applyNumberFormat="1" applyFont="1" applyBorder="1" applyAlignment="1">
      <alignment horizontal="center"/>
      <protection/>
    </xf>
    <xf numFmtId="0" fontId="34" fillId="0" borderId="13" xfId="56" applyFont="1" applyBorder="1" applyAlignment="1">
      <alignment horizontal="left"/>
      <protection/>
    </xf>
    <xf numFmtId="0" fontId="34" fillId="0" borderId="78" xfId="56" applyFont="1" applyBorder="1" applyAlignment="1">
      <alignment horizontal="left"/>
      <protection/>
    </xf>
    <xf numFmtId="0" fontId="31" fillId="0" borderId="33" xfId="53" applyFont="1" applyBorder="1" applyAlignment="1">
      <alignment horizontal="left"/>
      <protection/>
    </xf>
    <xf numFmtId="0" fontId="31" fillId="0" borderId="29" xfId="53" applyFont="1" applyBorder="1" applyAlignment="1">
      <alignment horizontal="left"/>
      <protection/>
    </xf>
    <xf numFmtId="49" fontId="21" fillId="0" borderId="12" xfId="56" applyNumberFormat="1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0" fontId="21" fillId="0" borderId="13" xfId="56" applyNumberFormat="1" applyFont="1" applyBorder="1" applyAlignment="1">
      <alignment horizontal="center"/>
      <protection/>
    </xf>
    <xf numFmtId="0" fontId="21" fillId="0" borderId="78" xfId="56" applyNumberFormat="1" applyFont="1" applyBorder="1" applyAlignment="1">
      <alignment horizontal="center"/>
      <protection/>
    </xf>
    <xf numFmtId="0" fontId="31" fillId="0" borderId="41" xfId="53" applyFont="1" applyBorder="1" applyAlignment="1">
      <alignment horizontal="left"/>
      <protection/>
    </xf>
    <xf numFmtId="0" fontId="31" fillId="0" borderId="27" xfId="53" applyFont="1" applyBorder="1" applyAlignment="1">
      <alignment horizontal="left"/>
      <protection/>
    </xf>
    <xf numFmtId="0" fontId="31" fillId="37" borderId="33" xfId="53" applyFont="1" applyFill="1" applyBorder="1" applyAlignment="1">
      <alignment horizontal="left"/>
      <protection/>
    </xf>
    <xf numFmtId="0" fontId="31" fillId="37" borderId="29" xfId="53" applyFont="1" applyFill="1" applyBorder="1" applyAlignment="1">
      <alignment horizontal="left"/>
      <protection/>
    </xf>
    <xf numFmtId="0" fontId="31" fillId="39" borderId="33" xfId="53" applyFont="1" applyFill="1" applyBorder="1" applyAlignment="1">
      <alignment horizontal="left"/>
      <protection/>
    </xf>
    <xf numFmtId="0" fontId="31" fillId="39" borderId="29" xfId="53" applyFont="1" applyFill="1" applyBorder="1" applyAlignment="1">
      <alignment horizontal="left"/>
      <protection/>
    </xf>
    <xf numFmtId="0" fontId="31" fillId="40" borderId="33" xfId="53" applyFont="1" applyFill="1" applyBorder="1" applyAlignment="1">
      <alignment horizontal="left"/>
      <protection/>
    </xf>
    <xf numFmtId="0" fontId="31" fillId="40" borderId="29" xfId="53" applyFont="1" applyFill="1" applyBorder="1" applyAlignment="1">
      <alignment horizontal="left"/>
      <protection/>
    </xf>
    <xf numFmtId="0" fontId="31" fillId="35" borderId="33" xfId="53" applyFont="1" applyFill="1" applyBorder="1" applyAlignment="1">
      <alignment horizontal="left"/>
      <protection/>
    </xf>
    <xf numFmtId="0" fontId="31" fillId="35" borderId="29" xfId="53" applyFont="1" applyFill="1" applyBorder="1" applyAlignment="1">
      <alignment horizontal="left"/>
      <protection/>
    </xf>
    <xf numFmtId="0" fontId="31" fillId="36" borderId="33" xfId="53" applyFont="1" applyFill="1" applyBorder="1" applyAlignment="1">
      <alignment horizontal="left"/>
      <protection/>
    </xf>
    <xf numFmtId="0" fontId="31" fillId="36" borderId="29" xfId="53" applyFont="1" applyFill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28" fillId="0" borderId="0" xfId="56" applyFont="1" applyBorder="1" applyAlignment="1">
      <alignment horizontal="center"/>
      <protection/>
    </xf>
    <xf numFmtId="0" fontId="18" fillId="0" borderId="38" xfId="53" applyFont="1" applyFill="1" applyBorder="1" applyAlignment="1">
      <alignment horizontal="center" vertical="center"/>
      <protection/>
    </xf>
    <xf numFmtId="0" fontId="18" fillId="0" borderId="74" xfId="53" applyFont="1" applyFill="1" applyBorder="1" applyAlignment="1">
      <alignment horizontal="center" vertical="center"/>
      <protection/>
    </xf>
    <xf numFmtId="0" fontId="30" fillId="0" borderId="86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87" xfId="53" applyFont="1" applyBorder="1" applyAlignment="1">
      <alignment horizontal="center"/>
      <protection/>
    </xf>
    <xf numFmtId="0" fontId="30" fillId="0" borderId="88" xfId="53" applyFont="1" applyBorder="1" applyAlignment="1">
      <alignment horizontal="center"/>
      <protection/>
    </xf>
    <xf numFmtId="0" fontId="30" fillId="0" borderId="68" xfId="53" applyFont="1" applyBorder="1" applyAlignment="1">
      <alignment horizontal="center"/>
      <protection/>
    </xf>
    <xf numFmtId="0" fontId="31" fillId="35" borderId="41" xfId="53" applyFont="1" applyFill="1" applyBorder="1" applyAlignment="1">
      <alignment horizontal="left"/>
      <protection/>
    </xf>
    <xf numFmtId="0" fontId="31" fillId="35" borderId="27" xfId="53" applyFont="1" applyFill="1" applyBorder="1" applyAlignment="1">
      <alignment horizontal="left"/>
      <protection/>
    </xf>
    <xf numFmtId="170" fontId="31" fillId="0" borderId="22" xfId="47" applyFont="1" applyBorder="1" applyAlignment="1">
      <alignment horizontal="left"/>
    </xf>
    <xf numFmtId="170" fontId="31" fillId="0" borderId="25" xfId="47" applyFont="1" applyBorder="1" applyAlignment="1">
      <alignment horizontal="left"/>
    </xf>
    <xf numFmtId="170" fontId="31" fillId="0" borderId="44" xfId="47" applyFont="1" applyBorder="1" applyAlignment="1">
      <alignment horizontal="left"/>
    </xf>
    <xf numFmtId="170" fontId="31" fillId="0" borderId="75" xfId="47" applyFont="1" applyBorder="1" applyAlignment="1">
      <alignment horizontal="left"/>
    </xf>
    <xf numFmtId="170" fontId="31" fillId="0" borderId="24" xfId="47" applyFont="1" applyBorder="1" applyAlignment="1">
      <alignment horizontal="left"/>
    </xf>
    <xf numFmtId="170" fontId="31" fillId="0" borderId="71" xfId="47" applyFont="1" applyBorder="1" applyAlignment="1">
      <alignment horizontal="left"/>
    </xf>
    <xf numFmtId="0" fontId="31" fillId="37" borderId="75" xfId="53" applyFont="1" applyFill="1" applyBorder="1" applyAlignment="1">
      <alignment horizontal="left"/>
      <protection/>
    </xf>
    <xf numFmtId="0" fontId="30" fillId="0" borderId="51" xfId="53" applyFont="1" applyBorder="1" applyAlignment="1">
      <alignment horizontal="center"/>
      <protection/>
    </xf>
    <xf numFmtId="0" fontId="30" fillId="0" borderId="18" xfId="53" applyFont="1" applyBorder="1" applyAlignment="1">
      <alignment horizontal="center"/>
      <protection/>
    </xf>
    <xf numFmtId="0" fontId="30" fillId="0" borderId="72" xfId="53" applyFont="1" applyBorder="1" applyAlignment="1">
      <alignment horizontal="center"/>
      <protection/>
    </xf>
    <xf numFmtId="0" fontId="31" fillId="39" borderId="54" xfId="53" applyFont="1" applyFill="1" applyBorder="1" applyAlignment="1">
      <alignment horizontal="left"/>
      <protection/>
    </xf>
    <xf numFmtId="0" fontId="31" fillId="39" borderId="40" xfId="53" applyFont="1" applyFill="1" applyBorder="1" applyAlignment="1">
      <alignment horizontal="left"/>
      <protection/>
    </xf>
    <xf numFmtId="0" fontId="31" fillId="35" borderId="71" xfId="53" applyFont="1" applyFill="1" applyBorder="1" applyAlignment="1">
      <alignment horizontal="left"/>
      <protection/>
    </xf>
    <xf numFmtId="0" fontId="31" fillId="35" borderId="55" xfId="53" applyFont="1" applyFill="1" applyBorder="1" applyAlignment="1">
      <alignment horizontal="left"/>
      <protection/>
    </xf>
    <xf numFmtId="0" fontId="31" fillId="0" borderId="54" xfId="53" applyFont="1" applyBorder="1" applyAlignment="1">
      <alignment horizontal="left"/>
      <protection/>
    </xf>
    <xf numFmtId="0" fontId="31" fillId="0" borderId="40" xfId="53" applyFont="1" applyBorder="1" applyAlignment="1">
      <alignment horizontal="left"/>
      <protection/>
    </xf>
    <xf numFmtId="0" fontId="31" fillId="35" borderId="75" xfId="53" applyFont="1" applyFill="1" applyBorder="1" applyAlignment="1">
      <alignment horizontal="left"/>
      <protection/>
    </xf>
    <xf numFmtId="39" fontId="31" fillId="0" borderId="51" xfId="47" applyNumberFormat="1" applyFont="1" applyBorder="1" applyAlignment="1">
      <alignment horizontal="right" vertical="center"/>
    </xf>
    <xf numFmtId="39" fontId="31" fillId="0" borderId="72" xfId="47" applyNumberFormat="1" applyFont="1" applyBorder="1" applyAlignment="1">
      <alignment horizontal="right" vertical="center"/>
    </xf>
    <xf numFmtId="170" fontId="31" fillId="0" borderId="38" xfId="47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53" xfId="0" applyBorder="1" applyAlignment="1">
      <alignment/>
    </xf>
    <xf numFmtId="0" fontId="0" fillId="0" borderId="23" xfId="0" applyBorder="1" applyAlignment="1">
      <alignment/>
    </xf>
    <xf numFmtId="0" fontId="31" fillId="36" borderId="75" xfId="53" applyFont="1" applyFill="1" applyBorder="1" applyAlignment="1">
      <alignment horizontal="left"/>
      <protection/>
    </xf>
    <xf numFmtId="0" fontId="17" fillId="0" borderId="12" xfId="53" applyBorder="1" applyAlignment="1">
      <alignment horizontal="center"/>
      <protection/>
    </xf>
    <xf numFmtId="0" fontId="17" fillId="0" borderId="13" xfId="53" applyBorder="1" applyAlignment="1">
      <alignment horizontal="center"/>
      <protection/>
    </xf>
    <xf numFmtId="0" fontId="17" fillId="0" borderId="78" xfId="53" applyBorder="1" applyAlignment="1">
      <alignment horizontal="center"/>
      <protection/>
    </xf>
    <xf numFmtId="0" fontId="17" fillId="0" borderId="51" xfId="53" applyBorder="1" applyAlignment="1">
      <alignment horizontal="center"/>
      <protection/>
    </xf>
    <xf numFmtId="0" fontId="17" fillId="0" borderId="18" xfId="53" applyBorder="1" applyAlignment="1">
      <alignment horizontal="center"/>
      <protection/>
    </xf>
    <xf numFmtId="0" fontId="17" fillId="0" borderId="72" xfId="53" applyBorder="1" applyAlignment="1">
      <alignment horizontal="center"/>
      <protection/>
    </xf>
    <xf numFmtId="0" fontId="31" fillId="39" borderId="75" xfId="53" applyFont="1" applyFill="1" applyBorder="1" applyAlignment="1">
      <alignment horizontal="left"/>
      <protection/>
    </xf>
    <xf numFmtId="0" fontId="31" fillId="38" borderId="75" xfId="53" applyFont="1" applyFill="1" applyBorder="1" applyAlignment="1">
      <alignment horizontal="left"/>
      <protection/>
    </xf>
    <xf numFmtId="0" fontId="31" fillId="39" borderId="64" xfId="53" applyFont="1" applyFill="1" applyBorder="1" applyAlignment="1">
      <alignment horizontal="left"/>
      <protection/>
    </xf>
    <xf numFmtId="0" fontId="31" fillId="40" borderId="75" xfId="53" applyFont="1" applyFill="1" applyBorder="1" applyAlignment="1">
      <alignment horizontal="left"/>
      <protection/>
    </xf>
    <xf numFmtId="0" fontId="31" fillId="0" borderId="75" xfId="53" applyFont="1" applyBorder="1" applyAlignment="1">
      <alignment horizontal="left"/>
      <protection/>
    </xf>
    <xf numFmtId="0" fontId="0" fillId="0" borderId="6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7" xfId="0" applyBorder="1" applyAlignment="1">
      <alignment horizontal="center"/>
    </xf>
    <xf numFmtId="0" fontId="12" fillId="41" borderId="34" xfId="0" applyFont="1" applyFill="1" applyBorder="1" applyAlignment="1">
      <alignment horizontal="center"/>
    </xf>
    <xf numFmtId="0" fontId="12" fillId="41" borderId="0" xfId="0" applyFont="1" applyFill="1" applyBorder="1" applyAlignment="1">
      <alignment horizontal="center"/>
    </xf>
    <xf numFmtId="0" fontId="12" fillId="41" borderId="35" xfId="0" applyFont="1" applyFill="1" applyBorder="1" applyAlignment="1">
      <alignment horizontal="center"/>
    </xf>
    <xf numFmtId="0" fontId="12" fillId="41" borderId="34" xfId="0" applyFont="1" applyFill="1" applyBorder="1" applyAlignment="1">
      <alignment horizontal="left"/>
    </xf>
    <xf numFmtId="0" fontId="12" fillId="41" borderId="0" xfId="0" applyFont="1" applyFill="1" applyBorder="1" applyAlignment="1">
      <alignment horizontal="left"/>
    </xf>
    <xf numFmtId="0" fontId="12" fillId="41" borderId="35" xfId="0" applyFont="1" applyFill="1" applyBorder="1" applyAlignment="1">
      <alignment horizontal="left"/>
    </xf>
    <xf numFmtId="171" fontId="4" fillId="41" borderId="27" xfId="0" applyNumberFormat="1" applyFont="1" applyFill="1" applyBorder="1" applyAlignment="1">
      <alignment horizontal="center"/>
    </xf>
    <xf numFmtId="171" fontId="4" fillId="41" borderId="28" xfId="0" applyNumberFormat="1" applyFont="1" applyFill="1" applyBorder="1" applyAlignment="1">
      <alignment horizontal="center"/>
    </xf>
    <xf numFmtId="171" fontId="4" fillId="41" borderId="29" xfId="0" applyNumberFormat="1" applyFont="1" applyFill="1" applyBorder="1" applyAlignment="1">
      <alignment horizontal="center"/>
    </xf>
    <xf numFmtId="171" fontId="4" fillId="41" borderId="30" xfId="0" applyNumberFormat="1" applyFont="1" applyFill="1" applyBorder="1" applyAlignment="1">
      <alignment horizontal="center"/>
    </xf>
    <xf numFmtId="171" fontId="4" fillId="41" borderId="65" xfId="0" applyNumberFormat="1" applyFont="1" applyFill="1" applyBorder="1" applyAlignment="1">
      <alignment horizontal="center"/>
    </xf>
    <xf numFmtId="171" fontId="4" fillId="41" borderId="80" xfId="0" applyNumberFormat="1" applyFont="1" applyFill="1" applyBorder="1" applyAlignment="1">
      <alignment horizontal="center"/>
    </xf>
    <xf numFmtId="181" fontId="2" fillId="0" borderId="32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74" xfId="0" applyFont="1" applyBorder="1" applyAlignment="1">
      <alignment horizontal="left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171" fontId="4" fillId="41" borderId="55" xfId="0" applyNumberFormat="1" applyFont="1" applyFill="1" applyBorder="1" applyAlignment="1">
      <alignment horizontal="center"/>
    </xf>
    <xf numFmtId="171" fontId="4" fillId="41" borderId="56" xfId="0" applyNumberFormat="1" applyFont="1" applyFill="1" applyBorder="1" applyAlignment="1">
      <alignment horizontal="center"/>
    </xf>
    <xf numFmtId="171" fontId="4" fillId="41" borderId="40" xfId="0" applyNumberFormat="1" applyFont="1" applyFill="1" applyBorder="1" applyAlignment="1">
      <alignment horizontal="center"/>
    </xf>
    <xf numFmtId="171" fontId="4" fillId="41" borderId="36" xfId="0" applyNumberFormat="1" applyFont="1" applyFill="1" applyBorder="1" applyAlignment="1">
      <alignment horizontal="center"/>
    </xf>
    <xf numFmtId="0" fontId="0" fillId="41" borderId="53" xfId="0" applyFont="1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0" fontId="0" fillId="41" borderId="50" xfId="0" applyFont="1" applyFill="1" applyBorder="1" applyAlignment="1">
      <alignment horizontal="center"/>
    </xf>
    <xf numFmtId="0" fontId="12" fillId="0" borderId="38" xfId="0" applyFont="1" applyBorder="1" applyAlignment="1">
      <alignment horizontal="left"/>
    </xf>
    <xf numFmtId="0" fontId="34" fillId="41" borderId="34" xfId="0" applyFont="1" applyFill="1" applyBorder="1" applyAlignment="1">
      <alignment horizontal="center" vertical="center" wrapText="1"/>
    </xf>
    <xf numFmtId="0" fontId="34" fillId="41" borderId="0" xfId="0" applyFont="1" applyFill="1" applyBorder="1" applyAlignment="1">
      <alignment horizontal="center" vertical="center" wrapText="1"/>
    </xf>
    <xf numFmtId="0" fontId="34" fillId="41" borderId="35" xfId="0" applyFont="1" applyFill="1" applyBorder="1" applyAlignment="1">
      <alignment horizontal="center" vertical="center" wrapText="1"/>
    </xf>
    <xf numFmtId="0" fontId="12" fillId="41" borderId="38" xfId="0" applyFont="1" applyFill="1" applyBorder="1" applyAlignment="1">
      <alignment horizontal="left"/>
    </xf>
    <xf numFmtId="0" fontId="12" fillId="41" borderId="16" xfId="0" applyFont="1" applyFill="1" applyBorder="1" applyAlignment="1">
      <alignment horizontal="left"/>
    </xf>
    <xf numFmtId="0" fontId="3" fillId="41" borderId="38" xfId="0" applyFont="1" applyFill="1" applyBorder="1" applyAlignment="1">
      <alignment horizontal="center" vertical="center"/>
    </xf>
    <xf numFmtId="0" fontId="3" fillId="41" borderId="53" xfId="0" applyFont="1" applyFill="1" applyBorder="1" applyAlignment="1">
      <alignment horizontal="center" vertical="center"/>
    </xf>
    <xf numFmtId="0" fontId="3" fillId="41" borderId="16" xfId="0" applyFont="1" applyFill="1" applyBorder="1" applyAlignment="1">
      <alignment horizontal="center" vertical="center"/>
    </xf>
    <xf numFmtId="0" fontId="3" fillId="41" borderId="49" xfId="0" applyFont="1" applyFill="1" applyBorder="1" applyAlignment="1">
      <alignment horizontal="center" vertical="center"/>
    </xf>
    <xf numFmtId="0" fontId="3" fillId="41" borderId="23" xfId="0" applyFont="1" applyFill="1" applyBorder="1" applyAlignment="1">
      <alignment horizontal="center" vertical="center"/>
    </xf>
    <xf numFmtId="0" fontId="3" fillId="41" borderId="50" xfId="0" applyFont="1" applyFill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" fontId="16" fillId="41" borderId="12" xfId="0" applyNumberFormat="1" applyFont="1" applyFill="1" applyBorder="1" applyAlignment="1">
      <alignment horizontal="center"/>
    </xf>
    <xf numFmtId="4" fontId="16" fillId="41" borderId="13" xfId="0" applyNumberFormat="1" applyFont="1" applyFill="1" applyBorder="1" applyAlignment="1">
      <alignment horizontal="center"/>
    </xf>
    <xf numFmtId="4" fontId="16" fillId="41" borderId="78" xfId="0" applyNumberFormat="1" applyFont="1" applyFill="1" applyBorder="1" applyAlignment="1">
      <alignment horizontal="center"/>
    </xf>
    <xf numFmtId="0" fontId="9" fillId="41" borderId="17" xfId="0" applyFont="1" applyFill="1" applyBorder="1" applyAlignment="1">
      <alignment horizontal="center"/>
    </xf>
    <xf numFmtId="0" fontId="9" fillId="41" borderId="49" xfId="0" applyFont="1" applyFill="1" applyBorder="1" applyAlignment="1">
      <alignment horizontal="center"/>
    </xf>
    <xf numFmtId="0" fontId="35" fillId="41" borderId="34" xfId="0" applyFont="1" applyFill="1" applyBorder="1" applyAlignment="1">
      <alignment horizontal="center"/>
    </xf>
    <xf numFmtId="0" fontId="35" fillId="41" borderId="0" xfId="0" applyFont="1" applyFill="1" applyBorder="1" applyAlignment="1">
      <alignment horizontal="center"/>
    </xf>
    <xf numFmtId="0" fontId="35" fillId="41" borderId="35" xfId="0" applyFont="1" applyFill="1" applyBorder="1" applyAlignment="1">
      <alignment horizontal="center"/>
    </xf>
    <xf numFmtId="171" fontId="4" fillId="41" borderId="29" xfId="0" applyNumberFormat="1" applyFont="1" applyFill="1" applyBorder="1" applyAlignment="1">
      <alignment horizontal="center" vertical="center"/>
    </xf>
    <xf numFmtId="0" fontId="41" fillId="41" borderId="34" xfId="0" applyFont="1" applyFill="1" applyBorder="1" applyAlignment="1">
      <alignment horizontal="center"/>
    </xf>
    <xf numFmtId="0" fontId="41" fillId="41" borderId="0" xfId="0" applyFont="1" applyFill="1" applyBorder="1" applyAlignment="1">
      <alignment horizontal="center"/>
    </xf>
    <xf numFmtId="0" fontId="41" fillId="41" borderId="35" xfId="0" applyFont="1" applyFill="1" applyBorder="1" applyAlignment="1">
      <alignment horizontal="center"/>
    </xf>
    <xf numFmtId="0" fontId="12" fillId="41" borderId="53" xfId="0" applyFont="1" applyFill="1" applyBorder="1" applyAlignment="1">
      <alignment horizontal="center"/>
    </xf>
    <xf numFmtId="0" fontId="12" fillId="41" borderId="5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41" borderId="38" xfId="0" applyFont="1" applyFill="1" applyBorder="1" applyAlignment="1">
      <alignment horizontal="center"/>
    </xf>
    <xf numFmtId="0" fontId="12" fillId="41" borderId="49" xfId="0" applyFont="1" applyFill="1" applyBorder="1" applyAlignment="1">
      <alignment horizontal="center"/>
    </xf>
    <xf numFmtId="0" fontId="21" fillId="41" borderId="38" xfId="0" applyFont="1" applyFill="1" applyBorder="1" applyAlignment="1">
      <alignment horizontal="center"/>
    </xf>
    <xf numFmtId="0" fontId="21" fillId="41" borderId="16" xfId="0" applyFont="1" applyFill="1" applyBorder="1" applyAlignment="1">
      <alignment horizontal="center"/>
    </xf>
    <xf numFmtId="0" fontId="21" fillId="41" borderId="49" xfId="0" applyFont="1" applyFill="1" applyBorder="1" applyAlignment="1">
      <alignment horizontal="center"/>
    </xf>
    <xf numFmtId="0" fontId="23" fillId="41" borderId="23" xfId="0" applyFont="1" applyFill="1" applyBorder="1" applyAlignment="1">
      <alignment horizontal="center"/>
    </xf>
    <xf numFmtId="0" fontId="23" fillId="41" borderId="50" xfId="0" applyFont="1" applyFill="1" applyBorder="1" applyAlignment="1">
      <alignment horizontal="center"/>
    </xf>
    <xf numFmtId="0" fontId="12" fillId="41" borderId="49" xfId="0" applyFont="1" applyFill="1" applyBorder="1" applyAlignment="1">
      <alignment horizontal="left"/>
    </xf>
    <xf numFmtId="0" fontId="12" fillId="41" borderId="16" xfId="0" applyFont="1" applyFill="1" applyBorder="1" applyAlignment="1">
      <alignment horizontal="center"/>
    </xf>
    <xf numFmtId="0" fontId="3" fillId="41" borderId="53" xfId="0" applyFont="1" applyFill="1" applyBorder="1" applyAlignment="1">
      <alignment horizontal="left"/>
    </xf>
    <xf numFmtId="0" fontId="3" fillId="41" borderId="23" xfId="0" applyFont="1" applyFill="1" applyBorder="1" applyAlignment="1">
      <alignment horizontal="left"/>
    </xf>
    <xf numFmtId="171" fontId="4" fillId="41" borderId="25" xfId="0" applyNumberFormat="1" applyFont="1" applyFill="1" applyBorder="1" applyAlignment="1">
      <alignment horizontal="center"/>
    </xf>
    <xf numFmtId="171" fontId="4" fillId="41" borderId="26" xfId="0" applyNumberFormat="1" applyFont="1" applyFill="1" applyBorder="1" applyAlignment="1">
      <alignment horizontal="center"/>
    </xf>
    <xf numFmtId="171" fontId="4" fillId="41" borderId="33" xfId="0" applyNumberFormat="1" applyFont="1" applyFill="1" applyBorder="1" applyAlignment="1">
      <alignment horizontal="center" vertical="center"/>
    </xf>
    <xf numFmtId="171" fontId="4" fillId="41" borderId="40" xfId="0" applyNumberFormat="1" applyFont="1" applyFill="1" applyBorder="1" applyAlignment="1">
      <alignment horizontal="justify" vertical="center"/>
    </xf>
    <xf numFmtId="171" fontId="4" fillId="41" borderId="39" xfId="0" applyNumberFormat="1" applyFont="1" applyFill="1" applyBorder="1" applyAlignment="1">
      <alignment horizontal="justify" vertical="center"/>
    </xf>
    <xf numFmtId="171" fontId="4" fillId="41" borderId="55" xfId="0" applyNumberFormat="1" applyFont="1" applyFill="1" applyBorder="1" applyAlignment="1">
      <alignment horizontal="justify" vertical="center"/>
    </xf>
    <xf numFmtId="171" fontId="4" fillId="41" borderId="44" xfId="0" applyNumberFormat="1" applyFont="1" applyFill="1" applyBorder="1" applyAlignment="1">
      <alignment horizontal="center"/>
    </xf>
    <xf numFmtId="171" fontId="4" fillId="41" borderId="69" xfId="0" applyNumberFormat="1" applyFont="1" applyFill="1" applyBorder="1" applyAlignment="1">
      <alignment horizontal="center"/>
    </xf>
    <xf numFmtId="171" fontId="4" fillId="41" borderId="27" xfId="0" applyNumberFormat="1" applyFont="1" applyFill="1" applyBorder="1" applyAlignment="1">
      <alignment horizontal="left"/>
    </xf>
    <xf numFmtId="171" fontId="4" fillId="41" borderId="28" xfId="0" applyNumberFormat="1" applyFont="1" applyFill="1" applyBorder="1" applyAlignment="1">
      <alignment horizontal="left"/>
    </xf>
    <xf numFmtId="0" fontId="40" fillId="41" borderId="53" xfId="0" applyFont="1" applyFill="1" applyBorder="1" applyAlignment="1">
      <alignment horizontal="center"/>
    </xf>
    <xf numFmtId="0" fontId="40" fillId="41" borderId="23" xfId="0" applyFont="1" applyFill="1" applyBorder="1" applyAlignment="1">
      <alignment horizontal="center"/>
    </xf>
    <xf numFmtId="0" fontId="40" fillId="41" borderId="50" xfId="0" applyFont="1" applyFill="1" applyBorder="1" applyAlignment="1">
      <alignment horizontal="center"/>
    </xf>
    <xf numFmtId="0" fontId="10" fillId="41" borderId="33" xfId="0" applyFont="1" applyFill="1" applyBorder="1" applyAlignment="1">
      <alignment horizontal="center"/>
    </xf>
    <xf numFmtId="0" fontId="10" fillId="41" borderId="30" xfId="0" applyFont="1" applyFill="1" applyBorder="1" applyAlignment="1">
      <alignment horizontal="center"/>
    </xf>
    <xf numFmtId="0" fontId="12" fillId="41" borderId="41" xfId="0" applyFont="1" applyFill="1" applyBorder="1" applyAlignment="1">
      <alignment horizontal="center"/>
    </xf>
    <xf numFmtId="0" fontId="12" fillId="41" borderId="28" xfId="0" applyFont="1" applyFill="1" applyBorder="1" applyAlignment="1">
      <alignment horizontal="center"/>
    </xf>
    <xf numFmtId="0" fontId="10" fillId="41" borderId="53" xfId="0" applyFont="1" applyFill="1" applyBorder="1" applyAlignment="1">
      <alignment horizontal="center"/>
    </xf>
    <xf numFmtId="0" fontId="10" fillId="41" borderId="23" xfId="0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 vertical="center"/>
    </xf>
    <xf numFmtId="0" fontId="41" fillId="0" borderId="34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181" fontId="23" fillId="0" borderId="12" xfId="0" applyNumberFormat="1" applyFont="1" applyBorder="1" applyAlignment="1">
      <alignment horizontal="center"/>
    </xf>
    <xf numFmtId="181" fontId="23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181" fontId="2" fillId="0" borderId="66" xfId="0" applyNumberFormat="1" applyFont="1" applyBorder="1" applyAlignment="1">
      <alignment horizontal="center"/>
    </xf>
    <xf numFmtId="181" fontId="2" fillId="0" borderId="35" xfId="0" applyNumberFormat="1" applyFont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" fillId="0" borderId="7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181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5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4" fillId="0" borderId="58" xfId="0" applyNumberFormat="1" applyFont="1" applyBorder="1" applyAlignment="1">
      <alignment horizontal="left"/>
    </xf>
    <xf numFmtId="49" fontId="4" fillId="0" borderId="47" xfId="0" applyNumberFormat="1" applyFont="1" applyBorder="1" applyAlignment="1">
      <alignment horizontal="left"/>
    </xf>
    <xf numFmtId="186" fontId="2" fillId="0" borderId="58" xfId="0" applyNumberFormat="1" applyFont="1" applyBorder="1" applyAlignment="1">
      <alignment horizontal="center"/>
    </xf>
    <xf numFmtId="186" fontId="9" fillId="0" borderId="56" xfId="0" applyNumberFormat="1" applyFont="1" applyBorder="1" applyAlignment="1">
      <alignment/>
    </xf>
    <xf numFmtId="10" fontId="2" fillId="0" borderId="42" xfId="59" applyNumberFormat="1" applyFont="1" applyBorder="1" applyAlignment="1">
      <alignment horizontal="center"/>
    </xf>
    <xf numFmtId="10" fontId="0" fillId="0" borderId="69" xfId="59" applyNumberFormat="1" applyFont="1" applyBorder="1" applyAlignment="1">
      <alignment horizontal="center"/>
    </xf>
    <xf numFmtId="186" fontId="2" fillId="0" borderId="70" xfId="0" applyNumberFormat="1" applyFont="1" applyBorder="1" applyAlignment="1">
      <alignment horizontal="center"/>
    </xf>
    <xf numFmtId="186" fontId="2" fillId="0" borderId="82" xfId="0" applyNumberFormat="1" applyFont="1" applyBorder="1" applyAlignment="1">
      <alignment horizontal="center"/>
    </xf>
    <xf numFmtId="186" fontId="2" fillId="0" borderId="83" xfId="0" applyNumberFormat="1" applyFont="1" applyBorder="1" applyAlignment="1">
      <alignment horizontal="center"/>
    </xf>
    <xf numFmtId="186" fontId="0" fillId="0" borderId="85" xfId="0" applyNumberFormat="1" applyBorder="1" applyAlignment="1">
      <alignment/>
    </xf>
    <xf numFmtId="10" fontId="2" fillId="0" borderId="83" xfId="59" applyNumberFormat="1" applyFont="1" applyBorder="1" applyAlignment="1">
      <alignment horizontal="center"/>
    </xf>
    <xf numFmtId="10" fontId="9" fillId="0" borderId="85" xfId="59" applyNumberFormat="1" applyFont="1" applyBorder="1" applyAlignment="1">
      <alignment horizontal="center"/>
    </xf>
    <xf numFmtId="186" fontId="4" fillId="0" borderId="33" xfId="0" applyNumberFormat="1" applyFont="1" applyBorder="1" applyAlignment="1">
      <alignment horizontal="center"/>
    </xf>
    <xf numFmtId="186" fontId="0" fillId="0" borderId="30" xfId="0" applyNumberFormat="1" applyBorder="1" applyAlignment="1">
      <alignment/>
    </xf>
    <xf numFmtId="49" fontId="4" fillId="0" borderId="22" xfId="0" applyNumberFormat="1" applyFont="1" applyBorder="1" applyAlignment="1">
      <alignment horizontal="left"/>
    </xf>
    <xf numFmtId="49" fontId="4" fillId="0" borderId="44" xfId="0" applyNumberFormat="1" applyFont="1" applyBorder="1" applyAlignment="1">
      <alignment horizontal="left"/>
    </xf>
    <xf numFmtId="10" fontId="4" fillId="0" borderId="22" xfId="59" applyNumberFormat="1" applyFont="1" applyBorder="1" applyAlignment="1">
      <alignment horizontal="center"/>
    </xf>
    <xf numFmtId="10" fontId="0" fillId="0" borderId="26" xfId="59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/>
    </xf>
    <xf numFmtId="49" fontId="4" fillId="0" borderId="43" xfId="0" applyNumberFormat="1" applyFont="1" applyBorder="1" applyAlignment="1">
      <alignment horizontal="left"/>
    </xf>
    <xf numFmtId="10" fontId="2" fillId="0" borderId="33" xfId="59" applyNumberFormat="1" applyFont="1" applyBorder="1" applyAlignment="1">
      <alignment horizontal="center"/>
    </xf>
    <xf numFmtId="10" fontId="9" fillId="0" borderId="30" xfId="59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41" borderId="33" xfId="52" applyFill="1" applyBorder="1" applyAlignment="1">
      <alignment horizontal="center"/>
      <protection/>
    </xf>
    <xf numFmtId="0" fontId="0" fillId="41" borderId="29" xfId="52" applyFill="1" applyBorder="1" applyAlignment="1">
      <alignment horizontal="center"/>
      <protection/>
    </xf>
    <xf numFmtId="0" fontId="0" fillId="41" borderId="30" xfId="52" applyFill="1" applyBorder="1" applyAlignment="1">
      <alignment horizontal="center"/>
      <protection/>
    </xf>
    <xf numFmtId="0" fontId="0" fillId="41" borderId="77" xfId="52" applyFill="1" applyBorder="1" applyAlignment="1">
      <alignment horizontal="left"/>
      <protection/>
    </xf>
    <xf numFmtId="0" fontId="0" fillId="41" borderId="42" xfId="52" applyFill="1" applyBorder="1" applyAlignment="1">
      <alignment horizontal="left"/>
      <protection/>
    </xf>
    <xf numFmtId="0" fontId="0" fillId="41" borderId="69" xfId="52" applyFill="1" applyBorder="1" applyAlignment="1">
      <alignment horizontal="left"/>
      <protection/>
    </xf>
    <xf numFmtId="0" fontId="9" fillId="33" borderId="12" xfId="52" applyFont="1" applyFill="1" applyBorder="1" applyAlignment="1">
      <alignment horizontal="center"/>
      <protection/>
    </xf>
    <xf numFmtId="0" fontId="9" fillId="41" borderId="78" xfId="52" applyFont="1" applyFill="1" applyBorder="1" applyAlignment="1">
      <alignment horizontal="center"/>
      <protection/>
    </xf>
    <xf numFmtId="17" fontId="11" fillId="33" borderId="0" xfId="52" applyNumberFormat="1" applyFont="1" applyFill="1" applyBorder="1" applyAlignment="1">
      <alignment horizontal="center"/>
      <protection/>
    </xf>
    <xf numFmtId="17" fontId="11" fillId="33" borderId="35" xfId="52" applyNumberFormat="1" applyFont="1" applyFill="1" applyBorder="1" applyAlignment="1">
      <alignment horizontal="center"/>
      <protection/>
    </xf>
    <xf numFmtId="0" fontId="9" fillId="33" borderId="33" xfId="52" applyFont="1" applyFill="1" applyBorder="1" applyAlignment="1">
      <alignment horizontal="center"/>
      <protection/>
    </xf>
    <xf numFmtId="0" fontId="9" fillId="33" borderId="29" xfId="52" applyFont="1" applyFill="1" applyBorder="1" applyAlignment="1">
      <alignment horizontal="center"/>
      <protection/>
    </xf>
    <xf numFmtId="0" fontId="9" fillId="33" borderId="30" xfId="52" applyFont="1" applyFill="1" applyBorder="1" applyAlignment="1">
      <alignment horizontal="center"/>
      <protection/>
    </xf>
    <xf numFmtId="0" fontId="0" fillId="41" borderId="33" xfId="52" applyFont="1" applyFill="1" applyBorder="1" applyAlignment="1">
      <alignment horizontal="center"/>
      <protection/>
    </xf>
    <xf numFmtId="0" fontId="0" fillId="33" borderId="29" xfId="52" applyFont="1" applyFill="1" applyBorder="1" applyAlignment="1">
      <alignment horizontal="center"/>
      <protection/>
    </xf>
    <xf numFmtId="0" fontId="0" fillId="41" borderId="58" xfId="52" applyFill="1" applyBorder="1" applyAlignment="1">
      <alignment horizontal="center"/>
      <protection/>
    </xf>
    <xf numFmtId="0" fontId="0" fillId="41" borderId="55" xfId="52" applyFill="1" applyBorder="1" applyAlignment="1">
      <alignment horizontal="center"/>
      <protection/>
    </xf>
    <xf numFmtId="17" fontId="11" fillId="33" borderId="16" xfId="52" applyNumberFormat="1" applyFont="1" applyFill="1" applyBorder="1" applyAlignment="1">
      <alignment horizontal="center"/>
      <protection/>
    </xf>
    <xf numFmtId="17" fontId="11" fillId="33" borderId="49" xfId="52" applyNumberFormat="1" applyFont="1" applyFill="1" applyBorder="1" applyAlignment="1">
      <alignment horizontal="center"/>
      <protection/>
    </xf>
    <xf numFmtId="181" fontId="11" fillId="33" borderId="16" xfId="52" applyNumberFormat="1" applyFont="1" applyFill="1" applyBorder="1" applyAlignment="1">
      <alignment horizontal="center"/>
      <protection/>
    </xf>
    <xf numFmtId="181" fontId="11" fillId="33" borderId="49" xfId="52" applyNumberFormat="1" applyFont="1" applyFill="1" applyBorder="1" applyAlignment="1">
      <alignment horizontal="center"/>
      <protection/>
    </xf>
    <xf numFmtId="0" fontId="0" fillId="41" borderId="54" xfId="52" applyFill="1" applyBorder="1" applyAlignment="1">
      <alignment horizontal="center"/>
      <protection/>
    </xf>
    <xf numFmtId="0" fontId="0" fillId="41" borderId="40" xfId="52" applyFill="1" applyBorder="1" applyAlignment="1">
      <alignment horizontal="center"/>
      <protection/>
    </xf>
    <xf numFmtId="0" fontId="0" fillId="41" borderId="36" xfId="52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9" fillId="41" borderId="0" xfId="52" applyFont="1" applyFill="1" applyBorder="1" applyAlignment="1">
      <alignment horizontal="center"/>
      <protection/>
    </xf>
    <xf numFmtId="0" fontId="0" fillId="41" borderId="22" xfId="52" applyFill="1" applyBorder="1" applyAlignment="1">
      <alignment horizontal="center"/>
      <protection/>
    </xf>
    <xf numFmtId="0" fontId="0" fillId="41" borderId="25" xfId="52" applyFill="1" applyBorder="1" applyAlignment="1">
      <alignment horizontal="center"/>
      <protection/>
    </xf>
    <xf numFmtId="0" fontId="0" fillId="41" borderId="26" xfId="52" applyFill="1" applyBorder="1" applyAlignment="1">
      <alignment horizontal="center"/>
      <protection/>
    </xf>
    <xf numFmtId="0" fontId="0" fillId="41" borderId="56" xfId="52" applyFill="1" applyBorder="1" applyAlignment="1">
      <alignment horizontal="center"/>
      <protection/>
    </xf>
    <xf numFmtId="181" fontId="11" fillId="33" borderId="0" xfId="52" applyNumberFormat="1" applyFont="1" applyFill="1" applyAlignment="1">
      <alignment horizontal="center"/>
      <protection/>
    </xf>
    <xf numFmtId="49" fontId="22" fillId="0" borderId="38" xfId="55" applyNumberFormat="1" applyFont="1" applyFill="1" applyBorder="1" applyAlignment="1">
      <alignment horizontal="center"/>
      <protection/>
    </xf>
    <xf numFmtId="49" fontId="22" fillId="0" borderId="16" xfId="55" applyNumberFormat="1" applyFont="1" applyFill="1" applyBorder="1" applyAlignment="1">
      <alignment horizontal="center"/>
      <protection/>
    </xf>
    <xf numFmtId="49" fontId="22" fillId="0" borderId="49" xfId="55" applyNumberFormat="1" applyFont="1" applyFill="1" applyBorder="1" applyAlignment="1">
      <alignment horizontal="center"/>
      <protection/>
    </xf>
    <xf numFmtId="0" fontId="32" fillId="0" borderId="53" xfId="55" applyNumberFormat="1" applyFont="1" applyFill="1" applyBorder="1" applyAlignment="1">
      <alignment horizontal="center"/>
      <protection/>
    </xf>
    <xf numFmtId="0" fontId="32" fillId="0" borderId="23" xfId="55" applyNumberFormat="1" applyFont="1" applyFill="1" applyBorder="1" applyAlignment="1">
      <alignment horizontal="center"/>
      <protection/>
    </xf>
    <xf numFmtId="0" fontId="32" fillId="0" borderId="50" xfId="55" applyNumberFormat="1" applyFont="1" applyFill="1" applyBorder="1" applyAlignment="1">
      <alignment horizontal="center"/>
      <protection/>
    </xf>
    <xf numFmtId="0" fontId="9" fillId="0" borderId="38" xfId="55" applyNumberFormat="1" applyFont="1" applyFill="1" applyBorder="1" applyAlignment="1">
      <alignment horizontal="left"/>
      <protection/>
    </xf>
    <xf numFmtId="0" fontId="9" fillId="0" borderId="16" xfId="55" applyNumberFormat="1" applyFont="1" applyFill="1" applyBorder="1" applyAlignment="1">
      <alignment horizontal="left"/>
      <protection/>
    </xf>
    <xf numFmtId="0" fontId="9" fillId="0" borderId="12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0" fontId="10" fillId="0" borderId="12" xfId="54" applyFont="1" applyBorder="1" applyAlignment="1">
      <alignment horizontal="left"/>
      <protection/>
    </xf>
    <xf numFmtId="0" fontId="10" fillId="0" borderId="19" xfId="54" applyFont="1" applyBorder="1" applyAlignment="1">
      <alignment horizontal="left"/>
      <protection/>
    </xf>
    <xf numFmtId="0" fontId="10" fillId="0" borderId="34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2" fillId="0" borderId="53" xfId="52" applyFont="1" applyBorder="1" applyAlignment="1">
      <alignment horizontal="center"/>
      <protection/>
    </xf>
    <xf numFmtId="0" fontId="12" fillId="0" borderId="23" xfId="52" applyFont="1" applyBorder="1" applyAlignment="1">
      <alignment horizontal="center"/>
      <protection/>
    </xf>
    <xf numFmtId="0" fontId="25" fillId="0" borderId="38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35" fillId="0" borderId="34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0" fillId="0" borderId="34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 2" xfId="54"/>
    <cellStyle name="Normal_Orç PS V2 -  BDI - 2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Porcentagem 3" xfId="63"/>
    <cellStyle name="Saída" xfId="64"/>
    <cellStyle name="Comma" xfId="65"/>
    <cellStyle name="Comma [0]" xfId="66"/>
    <cellStyle name="Separador de milhares 2" xfId="67"/>
    <cellStyle name="Separador de milhares 2 2" xfId="68"/>
    <cellStyle name="Separador de milhares 3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171450</xdr:rowOff>
    </xdr:from>
    <xdr:to>
      <xdr:col>9</xdr:col>
      <xdr:colOff>304800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886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38</xdr:row>
      <xdr:rowOff>85725</xdr:rowOff>
    </xdr:from>
    <xdr:to>
      <xdr:col>9</xdr:col>
      <xdr:colOff>447675</xdr:colOff>
      <xdr:row>41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7572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34</xdr:row>
      <xdr:rowOff>85725</xdr:rowOff>
    </xdr:from>
    <xdr:to>
      <xdr:col>8</xdr:col>
      <xdr:colOff>447675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896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76</xdr:row>
      <xdr:rowOff>0</xdr:rowOff>
    </xdr:from>
    <xdr:to>
      <xdr:col>16</xdr:col>
      <xdr:colOff>38100</xdr:colOff>
      <xdr:row>77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66878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79</xdr:row>
      <xdr:rowOff>161925</xdr:rowOff>
    </xdr:from>
    <xdr:to>
      <xdr:col>18</xdr:col>
      <xdr:colOff>561975</xdr:colOff>
      <xdr:row>81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335500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81</xdr:row>
      <xdr:rowOff>95250</xdr:rowOff>
    </xdr:from>
    <xdr:to>
      <xdr:col>18</xdr:col>
      <xdr:colOff>523875</xdr:colOff>
      <xdr:row>83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592675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83</xdr:row>
      <xdr:rowOff>152400</xdr:rowOff>
    </xdr:from>
    <xdr:to>
      <xdr:col>18</xdr:col>
      <xdr:colOff>295275</xdr:colOff>
      <xdr:row>85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97367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76</xdr:row>
      <xdr:rowOff>0</xdr:rowOff>
    </xdr:from>
    <xdr:to>
      <xdr:col>21</xdr:col>
      <xdr:colOff>447675</xdr:colOff>
      <xdr:row>77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66878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78</xdr:row>
      <xdr:rowOff>0</xdr:rowOff>
    </xdr:from>
    <xdr:to>
      <xdr:col>20</xdr:col>
      <xdr:colOff>609600</xdr:colOff>
      <xdr:row>79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0116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79</xdr:row>
      <xdr:rowOff>161925</xdr:rowOff>
    </xdr:from>
    <xdr:to>
      <xdr:col>21</xdr:col>
      <xdr:colOff>57150</xdr:colOff>
      <xdr:row>82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3355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83</xdr:row>
      <xdr:rowOff>38100</xdr:rowOff>
    </xdr:from>
    <xdr:to>
      <xdr:col>21</xdr:col>
      <xdr:colOff>419100</xdr:colOff>
      <xdr:row>84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8593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.%20PREFEITURAS%20-%202011\BOMBINHAS\1.%20OR&#199;AMENTO%20-%20RUA%20AMORA%20-%20R.P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-%202011\Bal%20Pi&#231;arras\Av.%20Ver.%20Jo&#227;o%20Figueiredo\AV.%20VER.%20JO&#195;O%20FIGUEIR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08-08%20-%20Ilha%20de%20Maraj&#243;\1.%20OR&#199;AMENTO%20-%20RUA%20ILHA%20BELA%20DE%20MARAJ&#2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0.%20FUNDAM%20-%20REVIS&#195;O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 Ø80 e Ø100"/>
      <sheetName val="Comp. Boca de lobo "/>
      <sheetName val="Escavação"/>
      <sheetName val="Drenagem "/>
      <sheetName val="dados de entrada"/>
      <sheetName val="ORÇ"/>
      <sheetName val="CROFF"/>
      <sheetName val="MEMORIAL"/>
      <sheetName val="BDI"/>
      <sheetName val="sinapi"/>
    </sheetNames>
    <sheetDataSet>
      <sheetData sheetId="7">
        <row r="10">
          <cell r="B10" t="str">
            <v>SERVIÇOS INICIAIS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 de Entrada"/>
      <sheetName val="Escavação"/>
      <sheetName val="Drenagem"/>
      <sheetName val="Orçamento"/>
      <sheetName val="Cronograma FI-FI"/>
      <sheetName val="Desembolso"/>
      <sheetName val="MEMORIAL"/>
      <sheetName val="Comp. Poço de Visita 40 60"/>
      <sheetName val="Comp. Boca de lobo"/>
      <sheetName val="Comp. Caixa de Ligação Ø80"/>
      <sheetName val="Comp. Caixa de Ligação Ø60"/>
    </sheetNames>
    <sheetDataSet>
      <sheetData sheetId="0">
        <row r="6">
          <cell r="B6" t="str">
            <v>Carlos Alberto Bley</v>
          </cell>
        </row>
        <row r="17">
          <cell r="B17" t="str">
            <v>Engenheiro Civil - CREA SC: 8.333-3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 de entrada"/>
      <sheetName val="Drenagem"/>
      <sheetName val="Escavação"/>
      <sheetName val="MEMORIAL"/>
      <sheetName val="ORÇ"/>
      <sheetName val="CROFF"/>
      <sheetName val="PV Ø40 e Ø 60"/>
      <sheetName val="CL Ø40 e Ø 60"/>
      <sheetName val="PAVER"/>
      <sheetName val="TATIL"/>
      <sheetName val="BDI "/>
      <sheetName val="BDI  (2)"/>
      <sheetName val="PV Ø80"/>
      <sheetName val="CL Ø80"/>
    </sheetNames>
    <sheetDataSet>
      <sheetData sheetId="0">
        <row r="17">
          <cell r="B17" t="str">
            <v>Engenheiro Civil - CREA SC 8.333-3</v>
          </cell>
        </row>
        <row r="24">
          <cell r="C24" t="str">
            <v>Carlos Alberto Bley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1" t="s">
        <v>337</v>
      </c>
      <c r="B1" s="58" t="s">
        <v>372</v>
      </c>
      <c r="G1" s="57" t="s">
        <v>116</v>
      </c>
      <c r="H1" s="57" t="s">
        <v>115</v>
      </c>
      <c r="I1" s="57" t="s">
        <v>126</v>
      </c>
      <c r="L1" s="57" t="s">
        <v>114</v>
      </c>
      <c r="M1" s="57" t="s">
        <v>139</v>
      </c>
    </row>
    <row r="2" spans="1:13" ht="12.75">
      <c r="A2" s="61" t="s">
        <v>161</v>
      </c>
      <c r="B2" s="58" t="s">
        <v>347</v>
      </c>
      <c r="G2" s="57" t="s">
        <v>118</v>
      </c>
      <c r="H2" s="57" t="s">
        <v>119</v>
      </c>
      <c r="I2" s="57">
        <v>1</v>
      </c>
      <c r="J2" t="str">
        <f>IF(I2=1,"Prefeito","Prefeita")</f>
        <v>Prefeito</v>
      </c>
      <c r="L2" s="57" t="s">
        <v>86</v>
      </c>
      <c r="M2" s="57" t="s">
        <v>140</v>
      </c>
    </row>
    <row r="3" spans="1:12" ht="12.75">
      <c r="A3" s="61" t="s">
        <v>112</v>
      </c>
      <c r="B3" s="59">
        <v>41699</v>
      </c>
      <c r="G3" s="57" t="s">
        <v>120</v>
      </c>
      <c r="H3" s="57" t="s">
        <v>315</v>
      </c>
      <c r="I3" s="57">
        <v>1</v>
      </c>
      <c r="J3" t="str">
        <f aca="true" t="shared" si="0" ref="J3:J12">IF(I3=1,"Prefeito","Prefeita")</f>
        <v>Prefeito</v>
      </c>
      <c r="L3" s="57" t="s">
        <v>141</v>
      </c>
    </row>
    <row r="4" spans="1:12" ht="12.75">
      <c r="A4" s="61" t="s">
        <v>117</v>
      </c>
      <c r="B4" s="58" t="s">
        <v>343</v>
      </c>
      <c r="C4" s="57" t="s">
        <v>147</v>
      </c>
      <c r="G4" s="57" t="s">
        <v>121</v>
      </c>
      <c r="H4" s="57" t="s">
        <v>344</v>
      </c>
      <c r="I4" s="57">
        <v>1</v>
      </c>
      <c r="J4" t="str">
        <f t="shared" si="0"/>
        <v>Prefeito</v>
      </c>
      <c r="L4" s="57" t="s">
        <v>142</v>
      </c>
    </row>
    <row r="5" spans="1:13" ht="12.75">
      <c r="A5" s="61" t="s">
        <v>113</v>
      </c>
      <c r="B5" s="60" t="str">
        <f>VLOOKUP(B4,G2:H12,2,1)</f>
        <v>Ana Paula da Silva</v>
      </c>
      <c r="C5" s="57" t="s">
        <v>152</v>
      </c>
      <c r="G5" s="57" t="s">
        <v>122</v>
      </c>
      <c r="H5" s="57" t="s">
        <v>123</v>
      </c>
      <c r="I5">
        <v>2</v>
      </c>
      <c r="J5" t="str">
        <f t="shared" si="0"/>
        <v>Prefeita</v>
      </c>
      <c r="L5" s="57" t="s">
        <v>143</v>
      </c>
      <c r="M5" t="s">
        <v>157</v>
      </c>
    </row>
    <row r="6" spans="1:10" ht="12.75">
      <c r="A6" s="61" t="s">
        <v>114</v>
      </c>
      <c r="B6" s="58" t="s">
        <v>192</v>
      </c>
      <c r="G6" s="57" t="s">
        <v>124</v>
      </c>
      <c r="H6" s="57" t="s">
        <v>125</v>
      </c>
      <c r="I6">
        <v>1</v>
      </c>
      <c r="J6" t="str">
        <f t="shared" si="0"/>
        <v>Prefeito</v>
      </c>
    </row>
    <row r="7" spans="1:10" ht="12.75">
      <c r="A7" s="61" t="s">
        <v>139</v>
      </c>
      <c r="B7" s="60" t="str">
        <f>VLOOKUP(B6,L2:M5,2)</f>
        <v>8.333-3</v>
      </c>
      <c r="C7" s="57" t="s">
        <v>297</v>
      </c>
      <c r="G7" s="57" t="s">
        <v>129</v>
      </c>
      <c r="H7" s="57" t="s">
        <v>130</v>
      </c>
      <c r="I7">
        <v>1</v>
      </c>
      <c r="J7" t="str">
        <f t="shared" si="0"/>
        <v>Prefeito</v>
      </c>
    </row>
    <row r="8" spans="1:10" ht="12.75">
      <c r="A8" s="61" t="s">
        <v>145</v>
      </c>
      <c r="B8" s="58" t="s">
        <v>364</v>
      </c>
      <c r="G8" s="57" t="s">
        <v>127</v>
      </c>
      <c r="H8" s="57" t="s">
        <v>128</v>
      </c>
      <c r="I8">
        <v>1</v>
      </c>
      <c r="J8" t="str">
        <f t="shared" si="0"/>
        <v>Prefeito</v>
      </c>
    </row>
    <row r="9" spans="1:10" ht="12.75">
      <c r="A9" s="126" t="s">
        <v>27</v>
      </c>
      <c r="B9" s="560" t="s">
        <v>439</v>
      </c>
      <c r="G9" s="57" t="s">
        <v>131</v>
      </c>
      <c r="H9" s="57" t="s">
        <v>132</v>
      </c>
      <c r="I9">
        <v>1</v>
      </c>
      <c r="J9" t="str">
        <f t="shared" si="0"/>
        <v>Prefeito</v>
      </c>
    </row>
    <row r="10" spans="1:10" ht="12.75">
      <c r="A10" s="126" t="s">
        <v>47</v>
      </c>
      <c r="B10" s="181">
        <f>'BDI '!C24</f>
        <v>0.2373</v>
      </c>
      <c r="G10" s="57" t="s">
        <v>133</v>
      </c>
      <c r="H10" s="57" t="s">
        <v>134</v>
      </c>
      <c r="I10">
        <v>1</v>
      </c>
      <c r="J10" t="str">
        <f t="shared" si="0"/>
        <v>Prefeito</v>
      </c>
    </row>
    <row r="11" spans="1:10" ht="12.75">
      <c r="A11" s="126" t="s">
        <v>377</v>
      </c>
      <c r="B11" s="481" t="s">
        <v>378</v>
      </c>
      <c r="G11" s="57" t="s">
        <v>135</v>
      </c>
      <c r="H11" s="57" t="s">
        <v>136</v>
      </c>
      <c r="I11">
        <v>1</v>
      </c>
      <c r="J11" t="str">
        <f t="shared" si="0"/>
        <v>Prefeito</v>
      </c>
    </row>
    <row r="12" spans="7:10" ht="12.75">
      <c r="G12" s="57" t="s">
        <v>137</v>
      </c>
      <c r="H12" s="57" t="s">
        <v>138</v>
      </c>
      <c r="I12">
        <v>1</v>
      </c>
      <c r="J12" t="str">
        <f t="shared" si="0"/>
        <v>Prefeito</v>
      </c>
    </row>
    <row r="13" ht="12.75">
      <c r="B13" s="57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8.333-3</v>
      </c>
    </row>
    <row r="18" spans="2:3" ht="12.75">
      <c r="B18" t="str">
        <f>CONCATENATE(A1,B1)</f>
        <v>RUA ILHA DE MARAJÓ - </v>
      </c>
      <c r="C18" s="57" t="s">
        <v>153</v>
      </c>
    </row>
    <row r="19" spans="2:3" ht="12.75">
      <c r="B19" t="str">
        <f>CONCATENATE(A2,B2)</f>
        <v>BAIRRO QUATRO ILHAS</v>
      </c>
      <c r="C19" t="str">
        <f>CONCATENATE(B18,B19)</f>
        <v>RUA ILHA DE MARAJÓ - BAIRRO QUATRO ILHAS</v>
      </c>
    </row>
    <row r="20" ht="12.75">
      <c r="C20" t="str">
        <f>CONCATENATE(C18,C19)</f>
        <v>Localização: RUA ILHA DE MARAJÓ - BAIRRO QUATRO ILHAS</v>
      </c>
    </row>
    <row r="23" ht="12.75">
      <c r="C23" t="s">
        <v>158</v>
      </c>
    </row>
    <row r="24" ht="12.75">
      <c r="C24" t="str">
        <f>B6</f>
        <v>Carlos Alberto Bley  </v>
      </c>
    </row>
    <row r="25" ht="12.75">
      <c r="C25" t="str">
        <f>CONCATENATE(C23,C24)</f>
        <v>Nome: Carlos Alberto Bley  </v>
      </c>
    </row>
    <row r="27" ht="12.75">
      <c r="C27" t="s">
        <v>159</v>
      </c>
    </row>
    <row r="28" ht="12.75">
      <c r="C28" t="str">
        <f>CONCATENATE(C27,B7)</f>
        <v>Crea: 8.333-3</v>
      </c>
    </row>
    <row r="30" ht="12.75">
      <c r="C30" t="str">
        <f>CONCATENATE(C24,C28)</f>
        <v>Carlos Alberto Bley  Crea: 8.333-3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F56" sqref="F56"/>
    </sheetView>
  </sheetViews>
  <sheetFormatPr defaultColWidth="9.140625" defaultRowHeight="12.75"/>
  <cols>
    <col min="1" max="1" width="10.8515625" style="258" customWidth="1"/>
    <col min="2" max="2" width="61.8515625" style="258" customWidth="1"/>
    <col min="3" max="3" width="13.421875" style="258" customWidth="1"/>
    <col min="4" max="4" width="5.8515625" style="258" bestFit="1" customWidth="1"/>
    <col min="5" max="5" width="14.57421875" style="258" customWidth="1"/>
    <col min="6" max="6" width="18.140625" style="258" customWidth="1"/>
    <col min="7" max="7" width="9.140625" style="258" customWidth="1"/>
    <col min="8" max="8" width="13.421875" style="258" customWidth="1"/>
    <col min="9" max="9" width="16.28125" style="258" customWidth="1"/>
    <col min="10" max="10" width="9.7109375" style="258" bestFit="1" customWidth="1"/>
    <col min="11" max="16384" width="9.140625" style="258" customWidth="1"/>
  </cols>
  <sheetData>
    <row r="1" spans="1:10" ht="12.75">
      <c r="A1" s="261"/>
      <c r="B1" s="359" t="s">
        <v>23</v>
      </c>
      <c r="C1" s="1071" t="str">
        <f>'dados de entrada'!B9</f>
        <v>SINAPI - 01/01/2014 - COM DESONERAÇÃO - SICRO JAN. 2014</v>
      </c>
      <c r="D1" s="1071"/>
      <c r="E1" s="1071"/>
      <c r="F1" s="1071"/>
      <c r="G1" s="261"/>
      <c r="H1" s="360" t="s">
        <v>234</v>
      </c>
      <c r="I1" s="261"/>
      <c r="J1" s="261"/>
    </row>
    <row r="2" spans="1:10" ht="12.75">
      <c r="A2" s="361" t="str">
        <f>'dados de entrada'!B15</f>
        <v>PREFEITURA MUNICIPAL DE BOMBINHAS</v>
      </c>
      <c r="B2" s="361"/>
      <c r="C2" s="261"/>
      <c r="D2" s="261"/>
      <c r="E2" s="261" t="s">
        <v>24</v>
      </c>
      <c r="F2" s="362" t="s">
        <v>25</v>
      </c>
      <c r="G2" s="261"/>
      <c r="H2" s="261"/>
      <c r="I2" s="261"/>
      <c r="J2" s="261"/>
    </row>
    <row r="3" spans="1:10" ht="12.75">
      <c r="A3" s="361" t="str">
        <f>'dados de entrada'!C19</f>
        <v>RUA ILHA DE MARAJÓ - BAIRRO QUATRO ILHAS</v>
      </c>
      <c r="B3" s="361"/>
      <c r="C3" s="261"/>
      <c r="D3" s="261"/>
      <c r="E3" s="261" t="s">
        <v>26</v>
      </c>
      <c r="F3" s="363" t="s">
        <v>432</v>
      </c>
      <c r="G3" s="261"/>
      <c r="H3" s="261"/>
      <c r="I3" s="261"/>
      <c r="J3" s="261"/>
    </row>
    <row r="4" spans="1:10" ht="12.75">
      <c r="A4" s="361" t="str">
        <f>'dados de entrada'!B8</f>
        <v>PAVIMENTAÇÃO ASFÁLTICA E DRENAGEM PLUVIAL</v>
      </c>
      <c r="B4" s="361"/>
      <c r="C4" s="261"/>
      <c r="D4" s="261"/>
      <c r="E4" s="261"/>
      <c r="F4" s="261"/>
      <c r="G4" s="261"/>
      <c r="H4" s="261"/>
      <c r="I4" s="261"/>
      <c r="J4" s="261"/>
    </row>
    <row r="5" spans="1:10" ht="13.5" thickBot="1">
      <c r="A5" s="1052" t="s">
        <v>28</v>
      </c>
      <c r="B5" s="1052"/>
      <c r="C5" s="1052"/>
      <c r="D5" s="1052"/>
      <c r="E5" s="1052"/>
      <c r="F5" s="1052"/>
      <c r="G5" s="261"/>
      <c r="H5" s="261"/>
      <c r="I5" s="261"/>
      <c r="J5" s="261"/>
    </row>
    <row r="6" spans="1:10" ht="13.5" thickBot="1">
      <c r="A6" s="1042"/>
      <c r="B6" s="1042"/>
      <c r="C6" s="1042"/>
      <c r="D6" s="1042"/>
      <c r="E6" s="1042"/>
      <c r="F6" s="1042"/>
      <c r="G6" s="261"/>
      <c r="H6" s="261"/>
      <c r="I6" s="261"/>
      <c r="J6" s="522">
        <f>'[4]Escavação'!W30</f>
        <v>1</v>
      </c>
    </row>
    <row r="7" spans="1:10" ht="12.75">
      <c r="A7" s="1042" t="s">
        <v>29</v>
      </c>
      <c r="B7" s="1042"/>
      <c r="C7" s="1042"/>
      <c r="D7" s="1042" t="s">
        <v>30</v>
      </c>
      <c r="E7" s="1042"/>
      <c r="F7" s="326" t="s">
        <v>13</v>
      </c>
      <c r="G7" s="261"/>
      <c r="H7" s="261"/>
      <c r="I7" s="261"/>
      <c r="J7" s="261"/>
    </row>
    <row r="8" spans="1:10" ht="13.5" thickBot="1">
      <c r="A8" s="1055" t="s">
        <v>407</v>
      </c>
      <c r="B8" s="1055"/>
      <c r="C8" s="1055"/>
      <c r="D8" s="1042" t="s">
        <v>3</v>
      </c>
      <c r="E8" s="1042"/>
      <c r="F8" s="521">
        <f>'dados de entrada'!B3</f>
        <v>41699</v>
      </c>
      <c r="G8" s="261"/>
      <c r="H8" s="261"/>
      <c r="I8" s="261"/>
      <c r="J8" s="261"/>
    </row>
    <row r="9" spans="1:11" ht="13.5" thickBot="1">
      <c r="A9" s="1063"/>
      <c r="B9" s="1063"/>
      <c r="C9" s="1063"/>
      <c r="D9" s="1063"/>
      <c r="E9" s="1063"/>
      <c r="F9" s="1063"/>
      <c r="G9" s="261"/>
      <c r="H9" s="1047" t="s">
        <v>405</v>
      </c>
      <c r="I9" s="1048"/>
      <c r="J9" s="259">
        <v>0.9</v>
      </c>
      <c r="K9" s="258" t="s">
        <v>327</v>
      </c>
    </row>
    <row r="10" spans="1:11" ht="13.5" thickBot="1">
      <c r="A10" s="523" t="s">
        <v>0</v>
      </c>
      <c r="B10" s="524" t="s">
        <v>31</v>
      </c>
      <c r="C10" s="524" t="s">
        <v>32</v>
      </c>
      <c r="D10" s="524" t="s">
        <v>33</v>
      </c>
      <c r="E10" s="524" t="s">
        <v>34</v>
      </c>
      <c r="F10" s="525" t="s">
        <v>35</v>
      </c>
      <c r="G10" s="261"/>
      <c r="H10" s="1047" t="s">
        <v>225</v>
      </c>
      <c r="I10" s="1048"/>
      <c r="J10" s="259">
        <f>((J9-0.2)*4*O13)-P14</f>
        <v>365.2</v>
      </c>
      <c r="K10" s="258" t="s">
        <v>328</v>
      </c>
    </row>
    <row r="11" spans="1:10" ht="12.75">
      <c r="A11" s="526" t="s">
        <v>427</v>
      </c>
      <c r="B11" s="527" t="s">
        <v>426</v>
      </c>
      <c r="C11" s="528">
        <v>0.0604</v>
      </c>
      <c r="D11" s="529" t="s">
        <v>9</v>
      </c>
      <c r="E11" s="530">
        <v>84.3</v>
      </c>
      <c r="F11" s="531">
        <f>C11*E11</f>
        <v>5.09172</v>
      </c>
      <c r="G11" s="261"/>
      <c r="H11" s="261"/>
      <c r="I11" s="261"/>
      <c r="J11" s="261"/>
    </row>
    <row r="12" spans="1:15" ht="12.75" customHeight="1">
      <c r="A12" s="526" t="s">
        <v>425</v>
      </c>
      <c r="B12" s="527" t="s">
        <v>391</v>
      </c>
      <c r="C12" s="535">
        <v>1.05</v>
      </c>
      <c r="D12" s="529" t="s">
        <v>3</v>
      </c>
      <c r="E12" s="530">
        <v>50</v>
      </c>
      <c r="F12" s="531">
        <f>C12*E12</f>
        <v>52.5</v>
      </c>
      <c r="G12" s="261"/>
      <c r="H12" s="261"/>
      <c r="I12" s="261"/>
      <c r="J12" s="261"/>
      <c r="N12" s="260" t="s">
        <v>218</v>
      </c>
      <c r="O12" s="260" t="s">
        <v>219</v>
      </c>
    </row>
    <row r="13" spans="1:15" ht="12.75">
      <c r="A13" s="526"/>
      <c r="B13" s="533"/>
      <c r="C13" s="528"/>
      <c r="D13" s="529"/>
      <c r="E13" s="534"/>
      <c r="F13" s="531"/>
      <c r="G13" s="261"/>
      <c r="H13" s="261"/>
      <c r="I13" s="261"/>
      <c r="J13" s="261"/>
      <c r="N13" s="260">
        <v>1</v>
      </c>
      <c r="O13" s="260">
        <v>144</v>
      </c>
    </row>
    <row r="14" spans="1:17" ht="12.75" customHeight="1">
      <c r="A14" s="526"/>
      <c r="B14" s="533"/>
      <c r="C14" s="535"/>
      <c r="D14" s="529"/>
      <c r="E14" s="534"/>
      <c r="F14" s="531"/>
      <c r="G14" s="261"/>
      <c r="H14" s="261"/>
      <c r="I14" s="261"/>
      <c r="J14" s="261"/>
      <c r="N14" s="260">
        <f>PI()*((0.4/2)^2)</f>
        <v>0.12566370614359174</v>
      </c>
      <c r="O14" s="260">
        <f>ROUNDUP((N14*O13)/N13,0)</f>
        <v>19</v>
      </c>
      <c r="P14" s="258">
        <f>O14*2</f>
        <v>38</v>
      </c>
      <c r="Q14" s="258" t="s">
        <v>227</v>
      </c>
    </row>
    <row r="15" spans="1:10" ht="12.75" customHeight="1" thickBot="1">
      <c r="A15" s="536"/>
      <c r="B15" s="527"/>
      <c r="C15" s="537"/>
      <c r="D15" s="326"/>
      <c r="E15" s="538"/>
      <c r="F15" s="539"/>
      <c r="G15" s="261"/>
      <c r="H15" s="261"/>
      <c r="I15" s="261"/>
      <c r="J15" s="261"/>
    </row>
    <row r="16" spans="1:11" ht="12.75" customHeight="1" thickBot="1">
      <c r="A16" s="526"/>
      <c r="B16" s="533"/>
      <c r="C16" s="535"/>
      <c r="D16" s="529"/>
      <c r="E16" s="534"/>
      <c r="F16" s="531"/>
      <c r="G16" s="261"/>
      <c r="H16" s="1047" t="s">
        <v>148</v>
      </c>
      <c r="I16" s="1048"/>
      <c r="J16" s="259">
        <f>C15*0.25</f>
        <v>0</v>
      </c>
      <c r="K16" s="258" t="s">
        <v>226</v>
      </c>
    </row>
    <row r="17" spans="1:10" ht="12.75">
      <c r="A17" s="526"/>
      <c r="B17" s="540"/>
      <c r="C17" s="528"/>
      <c r="D17" s="529"/>
      <c r="E17" s="534"/>
      <c r="F17" s="531"/>
      <c r="G17" s="261"/>
      <c r="H17" s="261"/>
      <c r="I17" s="261"/>
      <c r="J17" s="261"/>
    </row>
    <row r="18" spans="1:10" ht="12.75">
      <c r="A18" s="526"/>
      <c r="B18" s="533"/>
      <c r="C18" s="535"/>
      <c r="D18" s="529"/>
      <c r="E18" s="534"/>
      <c r="F18" s="531"/>
      <c r="G18" s="261"/>
      <c r="H18" s="261"/>
      <c r="I18" s="261"/>
      <c r="J18" s="261"/>
    </row>
    <row r="19" spans="1:10" ht="12.75">
      <c r="A19" s="541"/>
      <c r="B19" s="527"/>
      <c r="C19" s="542"/>
      <c r="D19" s="492"/>
      <c r="E19" s="530"/>
      <c r="F19" s="531"/>
      <c r="G19" s="261"/>
      <c r="H19" s="261"/>
      <c r="I19" s="261"/>
      <c r="J19" s="261"/>
    </row>
    <row r="20" spans="1:10" ht="12.75">
      <c r="A20" s="536"/>
      <c r="B20" s="527"/>
      <c r="C20" s="542"/>
      <c r="D20" s="492"/>
      <c r="E20" s="530"/>
      <c r="F20" s="539"/>
      <c r="G20" s="261"/>
      <c r="H20" s="261"/>
      <c r="I20" s="261"/>
      <c r="J20" s="261"/>
    </row>
    <row r="21" spans="1:10" ht="12.75">
      <c r="A21" s="541"/>
      <c r="B21" s="326"/>
      <c r="C21" s="537"/>
      <c r="D21" s="326"/>
      <c r="E21" s="373"/>
      <c r="F21" s="539"/>
      <c r="G21" s="261"/>
      <c r="H21" s="261"/>
      <c r="I21" s="261"/>
      <c r="J21" s="261"/>
    </row>
    <row r="22" spans="1:10" ht="12.75">
      <c r="A22" s="1041" t="s">
        <v>38</v>
      </c>
      <c r="B22" s="1042"/>
      <c r="C22" s="1042"/>
      <c r="D22" s="1042"/>
      <c r="E22" s="1042"/>
      <c r="F22" s="539">
        <f>SUM(F11:F21)</f>
        <v>57.59172</v>
      </c>
      <c r="G22" s="261"/>
      <c r="H22" s="261"/>
      <c r="I22" s="261"/>
      <c r="J22" s="261"/>
    </row>
    <row r="23" spans="1:10" ht="13.5" thickBot="1">
      <c r="A23" s="1067"/>
      <c r="B23" s="1068"/>
      <c r="C23" s="1068"/>
      <c r="D23" s="1068"/>
      <c r="E23" s="1068"/>
      <c r="F23" s="1069"/>
      <c r="G23" s="261"/>
      <c r="H23" s="261"/>
      <c r="I23" s="261"/>
      <c r="J23" s="261"/>
    </row>
    <row r="24" spans="1:10" ht="12.75">
      <c r="A24" s="316" t="s">
        <v>0</v>
      </c>
      <c r="B24" s="316" t="s">
        <v>19</v>
      </c>
      <c r="C24" s="316" t="s">
        <v>32</v>
      </c>
      <c r="D24" s="316" t="s">
        <v>33</v>
      </c>
      <c r="E24" s="316" t="s">
        <v>34</v>
      </c>
      <c r="F24" s="316" t="s">
        <v>35</v>
      </c>
      <c r="G24" s="261"/>
      <c r="H24" s="261"/>
      <c r="I24" s="261"/>
      <c r="J24" s="261"/>
    </row>
    <row r="25" spans="1:10" ht="12.75">
      <c r="A25" s="374"/>
      <c r="B25" s="375"/>
      <c r="C25" s="364"/>
      <c r="D25" s="376"/>
      <c r="E25" s="364"/>
      <c r="F25" s="377"/>
      <c r="G25" s="261" t="s">
        <v>230</v>
      </c>
      <c r="H25" s="261"/>
      <c r="I25" s="261"/>
      <c r="J25" s="261"/>
    </row>
    <row r="26" spans="1:10" ht="12.75">
      <c r="A26" s="367"/>
      <c r="B26" s="378"/>
      <c r="C26" s="379"/>
      <c r="D26" s="365"/>
      <c r="E26" s="379"/>
      <c r="F26" s="366"/>
      <c r="G26" s="261"/>
      <c r="H26" s="261"/>
      <c r="I26" s="261"/>
      <c r="J26" s="261"/>
    </row>
    <row r="27" spans="1:10" ht="12.75">
      <c r="A27" s="320"/>
      <c r="B27" s="321"/>
      <c r="C27" s="380"/>
      <c r="D27" s="321"/>
      <c r="E27" s="380"/>
      <c r="F27" s="368"/>
      <c r="G27" s="261"/>
      <c r="H27" s="261"/>
      <c r="I27" s="261"/>
      <c r="J27" s="261"/>
    </row>
    <row r="28" spans="1:10" ht="12.75">
      <c r="A28" s="320"/>
      <c r="B28" s="321"/>
      <c r="C28" s="380"/>
      <c r="D28" s="321"/>
      <c r="E28" s="380"/>
      <c r="F28" s="368"/>
      <c r="G28" s="261"/>
      <c r="H28" s="261"/>
      <c r="I28" s="261"/>
      <c r="J28" s="261"/>
    </row>
    <row r="29" spans="1:10" ht="12.75">
      <c r="A29" s="369"/>
      <c r="B29" s="370"/>
      <c r="C29" s="371"/>
      <c r="D29" s="370"/>
      <c r="E29" s="371"/>
      <c r="F29" s="372"/>
      <c r="G29" s="261"/>
      <c r="H29" s="261"/>
      <c r="I29" s="261"/>
      <c r="J29" s="261"/>
    </row>
    <row r="30" spans="1:10" ht="12.75">
      <c r="A30" s="1042" t="s">
        <v>40</v>
      </c>
      <c r="B30" s="1042"/>
      <c r="C30" s="1042"/>
      <c r="D30" s="1042"/>
      <c r="E30" s="1042"/>
      <c r="F30" s="373">
        <f>SUM(F25:F29)</f>
        <v>0</v>
      </c>
      <c r="G30" s="261"/>
      <c r="H30" s="261"/>
      <c r="I30" s="261"/>
      <c r="J30" s="261"/>
    </row>
    <row r="31" spans="1:10" ht="12.75">
      <c r="A31" s="1042"/>
      <c r="B31" s="1042"/>
      <c r="C31" s="1042"/>
      <c r="D31" s="1042"/>
      <c r="E31" s="1042"/>
      <c r="F31" s="1042"/>
      <c r="G31" s="261"/>
      <c r="H31" s="261"/>
      <c r="I31" s="261"/>
      <c r="J31" s="261"/>
    </row>
    <row r="32" spans="1:10" ht="12.75">
      <c r="A32" s="326" t="s">
        <v>0</v>
      </c>
      <c r="B32" s="326" t="s">
        <v>41</v>
      </c>
      <c r="C32" s="326" t="s">
        <v>32</v>
      </c>
      <c r="D32" s="326" t="s">
        <v>33</v>
      </c>
      <c r="E32" s="326" t="s">
        <v>34</v>
      </c>
      <c r="F32" s="326" t="s">
        <v>35</v>
      </c>
      <c r="G32" s="261"/>
      <c r="H32" s="261"/>
      <c r="I32" s="261"/>
      <c r="J32" s="261"/>
    </row>
    <row r="33" spans="1:10" ht="12.75">
      <c r="A33" s="532">
        <v>6111</v>
      </c>
      <c r="B33" s="533" t="s">
        <v>406</v>
      </c>
      <c r="C33" s="528">
        <v>0.35</v>
      </c>
      <c r="D33" s="529" t="s">
        <v>220</v>
      </c>
      <c r="E33" s="530">
        <v>8.83</v>
      </c>
      <c r="F33" s="539">
        <f>E33*C33</f>
        <v>3.0905</v>
      </c>
      <c r="G33" s="261"/>
      <c r="H33" s="261" t="s">
        <v>231</v>
      </c>
      <c r="I33" s="261" t="s">
        <v>333</v>
      </c>
      <c r="J33" s="261"/>
    </row>
    <row r="34" spans="1:10" ht="12.75">
      <c r="A34" s="526">
        <v>4750</v>
      </c>
      <c r="B34" s="533" t="s">
        <v>43</v>
      </c>
      <c r="C34" s="528">
        <v>0.16</v>
      </c>
      <c r="D34" s="529" t="s">
        <v>220</v>
      </c>
      <c r="E34" s="530">
        <v>11.79</v>
      </c>
      <c r="F34" s="539">
        <f>E34*C34</f>
        <v>1.8863999999999999</v>
      </c>
      <c r="G34" s="261"/>
      <c r="H34" s="261" t="s">
        <v>232</v>
      </c>
      <c r="I34" s="261" t="s">
        <v>334</v>
      </c>
      <c r="J34" s="261"/>
    </row>
    <row r="35" spans="1:10" ht="12.75">
      <c r="A35" s="320"/>
      <c r="B35" s="381"/>
      <c r="C35" s="380"/>
      <c r="D35" s="321"/>
      <c r="E35" s="380"/>
      <c r="F35" s="366">
        <f>C35*E35</f>
        <v>0</v>
      </c>
      <c r="G35" s="261"/>
      <c r="H35" s="261"/>
      <c r="I35" s="261"/>
      <c r="J35" s="261"/>
    </row>
    <row r="36" spans="1:10" ht="12.75">
      <c r="A36" s="320"/>
      <c r="B36" s="381"/>
      <c r="C36" s="380"/>
      <c r="D36" s="321"/>
      <c r="E36" s="380"/>
      <c r="F36" s="366">
        <f>C36*E36</f>
        <v>0</v>
      </c>
      <c r="G36" s="261"/>
      <c r="H36" s="261"/>
      <c r="I36" s="261"/>
      <c r="J36" s="261"/>
    </row>
    <row r="37" spans="1:10" ht="12.75">
      <c r="A37" s="382"/>
      <c r="B37" s="383"/>
      <c r="C37" s="384"/>
      <c r="D37" s="385"/>
      <c r="E37" s="384"/>
      <c r="F37" s="386">
        <f>C37*E37</f>
        <v>0</v>
      </c>
      <c r="G37" s="261"/>
      <c r="H37" s="261"/>
      <c r="I37" s="261"/>
      <c r="J37" s="261"/>
    </row>
    <row r="38" spans="1:10" ht="12.75">
      <c r="A38" s="1042" t="s">
        <v>44</v>
      </c>
      <c r="B38" s="1042"/>
      <c r="C38" s="1042"/>
      <c r="D38" s="1042"/>
      <c r="E38" s="1042"/>
      <c r="F38" s="373">
        <f>SUM(F33:F37)</f>
        <v>4.9769</v>
      </c>
      <c r="G38" s="261"/>
      <c r="H38" s="261"/>
      <c r="I38" s="261"/>
      <c r="J38" s="261"/>
    </row>
    <row r="39" spans="1:10" ht="12.75">
      <c r="A39" s="1042"/>
      <c r="B39" s="1042"/>
      <c r="C39" s="1042"/>
      <c r="D39" s="1042"/>
      <c r="E39" s="1042"/>
      <c r="F39" s="1042"/>
      <c r="G39" s="261"/>
      <c r="H39" s="261"/>
      <c r="I39" s="261"/>
      <c r="J39" s="261"/>
    </row>
    <row r="40" spans="1:10" ht="12.75">
      <c r="A40" s="1042" t="s">
        <v>45</v>
      </c>
      <c r="B40" s="1042"/>
      <c r="C40" s="1042"/>
      <c r="D40" s="1042"/>
      <c r="E40" s="1042"/>
      <c r="F40" s="373">
        <f>F38</f>
        <v>4.9769</v>
      </c>
      <c r="G40" s="261"/>
      <c r="H40" s="261"/>
      <c r="I40" s="261"/>
      <c r="J40" s="261"/>
    </row>
    <row r="41" spans="1:10" ht="12.75">
      <c r="A41" s="1042"/>
      <c r="B41" s="1042"/>
      <c r="C41" s="1042"/>
      <c r="D41" s="1042"/>
      <c r="E41" s="1042"/>
      <c r="F41" s="1042"/>
      <c r="G41" s="261"/>
      <c r="H41" s="261"/>
      <c r="I41" s="261"/>
      <c r="J41" s="261"/>
    </row>
    <row r="42" spans="1:10" ht="12.75">
      <c r="A42" s="1042"/>
      <c r="B42" s="1042"/>
      <c r="C42" s="1042"/>
      <c r="D42" s="1042"/>
      <c r="E42" s="1042"/>
      <c r="F42" s="1042"/>
      <c r="G42" s="261"/>
      <c r="H42" s="261"/>
      <c r="I42" s="261"/>
      <c r="J42" s="261"/>
    </row>
    <row r="43" spans="1:10" ht="12.75">
      <c r="A43" s="1042" t="s">
        <v>46</v>
      </c>
      <c r="B43" s="1042"/>
      <c r="C43" s="1042"/>
      <c r="D43" s="1042"/>
      <c r="E43" s="1042"/>
      <c r="F43" s="373">
        <f>F40+F30+F22</f>
        <v>62.56862</v>
      </c>
      <c r="G43" s="261"/>
      <c r="H43" s="261"/>
      <c r="I43" s="261"/>
      <c r="J43" s="261"/>
    </row>
    <row r="44" spans="1:10" ht="12.75">
      <c r="A44" s="1042"/>
      <c r="B44" s="1042"/>
      <c r="C44" s="1042"/>
      <c r="D44" s="1042"/>
      <c r="E44" s="1042"/>
      <c r="F44" s="1042"/>
      <c r="G44" s="261"/>
      <c r="H44" s="261"/>
      <c r="I44" s="261"/>
      <c r="J44" s="261"/>
    </row>
    <row r="45" spans="1:10" ht="12.75">
      <c r="A45" s="1042" t="s">
        <v>47</v>
      </c>
      <c r="B45" s="1042"/>
      <c r="C45" s="1042"/>
      <c r="D45" s="1042"/>
      <c r="E45" s="543">
        <f>'dados de entrada'!B10</f>
        <v>0.2373</v>
      </c>
      <c r="F45" s="373">
        <f>F43*E45</f>
        <v>14.847533526000001</v>
      </c>
      <c r="G45" s="387" t="s">
        <v>233</v>
      </c>
      <c r="H45" s="261"/>
      <c r="I45" s="261"/>
      <c r="J45" s="261"/>
    </row>
    <row r="46" spans="1:10" ht="12.75">
      <c r="A46" s="1042"/>
      <c r="B46" s="1042"/>
      <c r="C46" s="1042"/>
      <c r="D46" s="1042"/>
      <c r="E46" s="1042"/>
      <c r="F46" s="1042"/>
      <c r="G46" s="261"/>
      <c r="H46" s="261"/>
      <c r="I46" s="261"/>
      <c r="J46" s="261"/>
    </row>
    <row r="47" spans="1:10" ht="12.75">
      <c r="A47" s="1042" t="s">
        <v>48</v>
      </c>
      <c r="B47" s="1042"/>
      <c r="C47" s="1042"/>
      <c r="D47" s="1042"/>
      <c r="E47" s="1042"/>
      <c r="F47" s="373">
        <f>F43+F45</f>
        <v>77.416153526</v>
      </c>
      <c r="G47" s="261"/>
      <c r="H47" s="261"/>
      <c r="I47" s="261"/>
      <c r="J47" s="261"/>
    </row>
    <row r="48" spans="1:6" ht="13.5" thickBot="1">
      <c r="A48" s="1044" t="s">
        <v>433</v>
      </c>
      <c r="B48" s="1045"/>
      <c r="C48" s="1045"/>
      <c r="D48" s="1045"/>
      <c r="E48" s="1045"/>
      <c r="F48" s="1046"/>
    </row>
  </sheetData>
  <sheetProtection/>
  <mergeCells count="25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C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3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6.00390625" style="617" bestFit="1" customWidth="1"/>
    <col min="2" max="2" width="65.421875" style="601" customWidth="1"/>
    <col min="3" max="3" width="17.57421875" style="618" customWidth="1"/>
    <col min="4" max="4" width="12.7109375" style="598" bestFit="1" customWidth="1"/>
    <col min="5" max="5" width="6.8515625" style="601" bestFit="1" customWidth="1"/>
    <col min="6" max="6" width="7.421875" style="601" customWidth="1"/>
    <col min="7" max="7" width="5.00390625" style="601" customWidth="1"/>
    <col min="8" max="8" width="10.7109375" style="601" customWidth="1"/>
    <col min="9" max="9" width="9.28125" style="601" bestFit="1" customWidth="1"/>
    <col min="10" max="10" width="8.57421875" style="601" customWidth="1"/>
    <col min="11" max="11" width="9.7109375" style="601" customWidth="1"/>
    <col min="12" max="16384" width="9.140625" style="601" customWidth="1"/>
  </cols>
  <sheetData>
    <row r="1" spans="1:11" s="593" customFormat="1" ht="15.75">
      <c r="A1" s="1072" t="s">
        <v>61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4"/>
    </row>
    <row r="2" spans="1:11" s="593" customFormat="1" ht="21" thickBot="1">
      <c r="A2" s="1075" t="str">
        <f>'dados de entrada'!B15</f>
        <v>PREFEITURA MUNICIPAL DE BOMBINHAS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7"/>
    </row>
    <row r="3" spans="1:11" s="594" customFormat="1" ht="15.75" thickBot="1">
      <c r="A3" s="1078" t="str">
        <f>'dados de entrada'!B8</f>
        <v>PAVIMENTAÇÃO ASFÁLTICA E DRENAGEM PLUVIAL</v>
      </c>
      <c r="B3" s="1079"/>
      <c r="C3" s="1079"/>
      <c r="D3" s="651"/>
      <c r="E3" s="652"/>
      <c r="F3" s="652"/>
      <c r="G3" s="652"/>
      <c r="H3" s="652"/>
      <c r="I3" s="652"/>
      <c r="J3" s="652"/>
      <c r="K3" s="653"/>
    </row>
    <row r="4" spans="1:11" s="596" customFormat="1" ht="15.75" customHeight="1" thickBot="1">
      <c r="A4" s="1080" t="str">
        <f>'dados de entrada'!C19</f>
        <v>RUA ILHA DE MARAJÓ - BAIRRO QUATRO ILHAS</v>
      </c>
      <c r="B4" s="1081"/>
      <c r="C4" s="1081"/>
      <c r="D4" s="654"/>
      <c r="E4" s="655"/>
      <c r="F4" s="655"/>
      <c r="G4" s="655"/>
      <c r="H4" s="655"/>
      <c r="I4" s="655"/>
      <c r="J4" s="655"/>
      <c r="K4" s="656"/>
    </row>
    <row r="5" spans="1:11" s="596" customFormat="1" ht="15.75" customHeight="1" thickBot="1">
      <c r="A5" s="595"/>
      <c r="B5" s="597" t="s">
        <v>376</v>
      </c>
      <c r="C5" s="657" t="str">
        <f>'dados de entrada'!B11</f>
        <v>4.812.441-0</v>
      </c>
      <c r="D5" s="654"/>
      <c r="E5" s="655"/>
      <c r="F5" s="658"/>
      <c r="G5" s="658"/>
      <c r="H5" s="658"/>
      <c r="I5" s="658"/>
      <c r="J5" s="655"/>
      <c r="K5" s="656"/>
    </row>
    <row r="6" spans="1:11" ht="15.75" thickBot="1">
      <c r="A6" s="1082" t="s">
        <v>365</v>
      </c>
      <c r="B6" s="1082"/>
      <c r="C6" s="1082"/>
      <c r="D6" s="659"/>
      <c r="E6" s="599" t="s">
        <v>167</v>
      </c>
      <c r="F6" s="599" t="s">
        <v>168</v>
      </c>
      <c r="G6" s="600" t="s">
        <v>169</v>
      </c>
      <c r="H6" s="599" t="s">
        <v>440</v>
      </c>
      <c r="I6" s="600" t="s">
        <v>170</v>
      </c>
      <c r="J6" s="599" t="s">
        <v>171</v>
      </c>
      <c r="K6" s="660"/>
    </row>
    <row r="7" spans="1:11" ht="16.5" thickBot="1">
      <c r="A7" s="602" t="s">
        <v>172</v>
      </c>
      <c r="B7" s="603" t="s">
        <v>173</v>
      </c>
      <c r="C7" s="661" t="s">
        <v>7</v>
      </c>
      <c r="D7" s="659"/>
      <c r="E7" s="702">
        <f>(((1+(F7/100)+(H7/100))*(1+(G7/100))*(1+(J7/100)))/(1-(I7/100))-1)*100</f>
        <v>23.729997860095374</v>
      </c>
      <c r="F7" s="697">
        <v>4.61</v>
      </c>
      <c r="G7" s="699">
        <v>1.18</v>
      </c>
      <c r="H7" s="662">
        <v>1.68</v>
      </c>
      <c r="I7" s="701">
        <v>5.65</v>
      </c>
      <c r="J7" s="663">
        <v>8.55</v>
      </c>
      <c r="K7" s="660"/>
    </row>
    <row r="8" spans="1:11" ht="12.75">
      <c r="A8" s="604">
        <v>1</v>
      </c>
      <c r="B8" s="605" t="s">
        <v>174</v>
      </c>
      <c r="C8" s="664"/>
      <c r="D8" s="659"/>
      <c r="E8" s="620"/>
      <c r="F8" s="620"/>
      <c r="G8" s="665"/>
      <c r="H8" s="620"/>
      <c r="I8" s="620"/>
      <c r="J8" s="620"/>
      <c r="K8" s="660"/>
    </row>
    <row r="9" spans="1:11" ht="12.75">
      <c r="A9" s="606" t="s">
        <v>8</v>
      </c>
      <c r="B9" s="607" t="s">
        <v>175</v>
      </c>
      <c r="C9" s="608">
        <v>0.02</v>
      </c>
      <c r="D9" s="659"/>
      <c r="E9" s="620"/>
      <c r="F9" s="620"/>
      <c r="G9" s="620"/>
      <c r="H9" s="620"/>
      <c r="I9" s="620"/>
      <c r="J9" s="620"/>
      <c r="K9" s="660"/>
    </row>
    <row r="10" spans="1:11" ht="12.75">
      <c r="A10" s="606" t="s">
        <v>166</v>
      </c>
      <c r="B10" s="607" t="s">
        <v>176</v>
      </c>
      <c r="C10" s="608">
        <v>0.0111</v>
      </c>
      <c r="D10" s="659"/>
      <c r="E10" s="620"/>
      <c r="F10" s="620"/>
      <c r="G10" s="620"/>
      <c r="H10" s="620"/>
      <c r="I10" s="620"/>
      <c r="J10" s="620"/>
      <c r="K10" s="660"/>
    </row>
    <row r="11" spans="1:11" ht="12.75">
      <c r="A11" s="609" t="s">
        <v>177</v>
      </c>
      <c r="B11" s="607" t="s">
        <v>178</v>
      </c>
      <c r="C11" s="608">
        <v>0.015</v>
      </c>
      <c r="D11" s="659"/>
      <c r="E11" s="620"/>
      <c r="F11" s="620"/>
      <c r="G11" s="620"/>
      <c r="H11" s="620"/>
      <c r="I11" s="620"/>
      <c r="J11" s="620"/>
      <c r="K11" s="660"/>
    </row>
    <row r="12" spans="1:11" s="598" customFormat="1" ht="13.5" thickBot="1">
      <c r="A12" s="610"/>
      <c r="B12" s="611" t="s">
        <v>179</v>
      </c>
      <c r="C12" s="696">
        <f>SUM(C9:C11)</f>
        <v>0.0461</v>
      </c>
      <c r="D12" s="659" t="s">
        <v>380</v>
      </c>
      <c r="E12" s="667"/>
      <c r="F12" s="667"/>
      <c r="G12" s="667"/>
      <c r="H12" s="667"/>
      <c r="I12" s="667"/>
      <c r="J12" s="667"/>
      <c r="K12" s="668"/>
    </row>
    <row r="13" spans="1:11" ht="12.75">
      <c r="A13" s="604">
        <v>2</v>
      </c>
      <c r="B13" s="605" t="s">
        <v>180</v>
      </c>
      <c r="C13" s="669"/>
      <c r="D13" s="659"/>
      <c r="E13" s="620"/>
      <c r="F13" s="620"/>
      <c r="G13" s="620"/>
      <c r="H13" s="620"/>
      <c r="I13" s="704" t="s">
        <v>418</v>
      </c>
      <c r="J13" s="704" t="s">
        <v>419</v>
      </c>
      <c r="K13" s="704" t="s">
        <v>420</v>
      </c>
    </row>
    <row r="14" spans="1:11" ht="13.5" thickBot="1">
      <c r="A14" s="609" t="s">
        <v>53</v>
      </c>
      <c r="B14" s="612" t="s">
        <v>181</v>
      </c>
      <c r="C14" s="698">
        <v>0.0118</v>
      </c>
      <c r="D14" s="659" t="s">
        <v>384</v>
      </c>
      <c r="E14" s="620"/>
      <c r="F14" s="620"/>
      <c r="G14" s="620"/>
      <c r="H14" s="620"/>
      <c r="I14" s="670">
        <v>0.0065</v>
      </c>
      <c r="J14" s="671">
        <v>0.03</v>
      </c>
      <c r="K14" s="672">
        <v>0.02</v>
      </c>
    </row>
    <row r="15" spans="1:11" ht="13.5" thickBot="1">
      <c r="A15" s="613" t="s">
        <v>54</v>
      </c>
      <c r="B15" s="614" t="s">
        <v>382</v>
      </c>
      <c r="C15" s="608">
        <v>0.0074</v>
      </c>
      <c r="D15" s="673" t="s">
        <v>381</v>
      </c>
      <c r="E15" s="674"/>
      <c r="F15" s="620"/>
      <c r="G15" s="620"/>
      <c r="H15" s="620"/>
      <c r="I15" s="675" t="s">
        <v>436</v>
      </c>
      <c r="J15" s="703">
        <f>I14+J14+K14</f>
        <v>0.056499999999999995</v>
      </c>
      <c r="K15" s="676"/>
    </row>
    <row r="16" spans="1:11" ht="13.5" thickBot="1">
      <c r="A16" s="613" t="s">
        <v>55</v>
      </c>
      <c r="B16" s="615" t="s">
        <v>182</v>
      </c>
      <c r="C16" s="608">
        <v>0.0094</v>
      </c>
      <c r="D16" s="677" t="s">
        <v>383</v>
      </c>
      <c r="E16" s="678">
        <f>C16+C15</f>
        <v>0.016800000000000002</v>
      </c>
      <c r="F16" s="665" t="s">
        <v>441</v>
      </c>
      <c r="G16" s="620"/>
      <c r="H16" s="620"/>
      <c r="I16" s="620"/>
      <c r="J16" s="620"/>
      <c r="K16" s="660"/>
    </row>
    <row r="17" spans="1:11" s="598" customFormat="1" ht="13.5" thickBot="1">
      <c r="A17" s="610"/>
      <c r="B17" s="611" t="s">
        <v>179</v>
      </c>
      <c r="C17" s="679">
        <f>SUM(C14:C16)</f>
        <v>0.0286</v>
      </c>
      <c r="D17" s="659"/>
      <c r="E17" s="667"/>
      <c r="F17" s="667"/>
      <c r="G17" s="667"/>
      <c r="H17" s="667"/>
      <c r="I17" s="667"/>
      <c r="J17" s="667"/>
      <c r="K17" s="668"/>
    </row>
    <row r="18" spans="1:11" ht="12.75">
      <c r="A18" s="604">
        <v>3</v>
      </c>
      <c r="B18" s="605" t="s">
        <v>183</v>
      </c>
      <c r="C18" s="669"/>
      <c r="D18" s="659"/>
      <c r="E18" s="620"/>
      <c r="F18" s="620"/>
      <c r="G18" s="620"/>
      <c r="H18" s="620"/>
      <c r="I18" s="680"/>
      <c r="J18" s="620"/>
      <c r="K18" s="660"/>
    </row>
    <row r="19" spans="1:11" ht="12.75">
      <c r="A19" s="609" t="s">
        <v>59</v>
      </c>
      <c r="B19" s="612" t="s">
        <v>184</v>
      </c>
      <c r="C19" s="666">
        <v>0.0565</v>
      </c>
      <c r="D19" s="659"/>
      <c r="E19" s="620"/>
      <c r="F19" s="620"/>
      <c r="G19" s="620"/>
      <c r="H19" s="620"/>
      <c r="I19" s="620"/>
      <c r="J19" s="620"/>
      <c r="K19" s="660"/>
    </row>
    <row r="20" spans="1:11" s="598" customFormat="1" ht="13.5" thickBot="1">
      <c r="A20" s="610"/>
      <c r="B20" s="611" t="s">
        <v>179</v>
      </c>
      <c r="C20" s="700">
        <f>C19</f>
        <v>0.0565</v>
      </c>
      <c r="D20" s="659"/>
      <c r="E20" s="667"/>
      <c r="F20" s="667"/>
      <c r="G20" s="667"/>
      <c r="H20" s="667"/>
      <c r="I20" s="667"/>
      <c r="J20" s="667"/>
      <c r="K20" s="668"/>
    </row>
    <row r="21" spans="1:11" ht="12.75">
      <c r="A21" s="604">
        <v>4</v>
      </c>
      <c r="B21" s="605" t="s">
        <v>185</v>
      </c>
      <c r="C21" s="669"/>
      <c r="D21" s="659"/>
      <c r="E21" s="620"/>
      <c r="F21" s="620"/>
      <c r="G21" s="620"/>
      <c r="H21" s="620"/>
      <c r="I21" s="620"/>
      <c r="J21" s="620"/>
      <c r="K21" s="660"/>
    </row>
    <row r="22" spans="1:11" ht="12.75">
      <c r="A22" s="609" t="s">
        <v>149</v>
      </c>
      <c r="B22" s="607" t="s">
        <v>186</v>
      </c>
      <c r="C22" s="666">
        <v>0.0855</v>
      </c>
      <c r="D22" s="659"/>
      <c r="E22" s="620"/>
      <c r="F22" s="620"/>
      <c r="G22" s="620"/>
      <c r="H22" s="620"/>
      <c r="I22" s="620"/>
      <c r="J22" s="620"/>
      <c r="K22" s="660"/>
    </row>
    <row r="23" spans="1:11" s="598" customFormat="1" ht="13.5" thickBot="1">
      <c r="A23" s="610"/>
      <c r="B23" s="611" t="s">
        <v>179</v>
      </c>
      <c r="C23" s="681">
        <f>C22</f>
        <v>0.0855</v>
      </c>
      <c r="D23" s="659" t="s">
        <v>385</v>
      </c>
      <c r="E23" s="667"/>
      <c r="F23" s="667"/>
      <c r="G23" s="667"/>
      <c r="H23" s="667"/>
      <c r="I23" s="667"/>
      <c r="J23" s="667"/>
      <c r="K23" s="668"/>
    </row>
    <row r="24" spans="1:11" s="616" customFormat="1" ht="15.75" thickBot="1">
      <c r="A24" s="1083" t="s">
        <v>187</v>
      </c>
      <c r="B24" s="1084"/>
      <c r="C24" s="682">
        <v>0.2373</v>
      </c>
      <c r="D24" s="683"/>
      <c r="E24" s="684"/>
      <c r="F24" s="684"/>
      <c r="G24" s="684"/>
      <c r="H24" s="684"/>
      <c r="I24" s="684"/>
      <c r="J24" s="684"/>
      <c r="K24" s="685"/>
    </row>
    <row r="25" spans="4:11" ht="13.5" thickBot="1">
      <c r="D25" s="659"/>
      <c r="E25" s="620"/>
      <c r="F25" s="620"/>
      <c r="G25" s="620"/>
      <c r="H25" s="620"/>
      <c r="I25" s="620"/>
      <c r="J25" s="620"/>
      <c r="K25" s="660"/>
    </row>
    <row r="26" spans="1:11" ht="12.75">
      <c r="A26" s="1089" t="s">
        <v>188</v>
      </c>
      <c r="B26" s="1090"/>
      <c r="C26" s="1090"/>
      <c r="D26" s="659"/>
      <c r="E26" s="9" t="s">
        <v>437</v>
      </c>
      <c r="F26" s="620"/>
      <c r="G26" s="620"/>
      <c r="H26" s="620"/>
      <c r="I26" s="620"/>
      <c r="J26" s="620"/>
      <c r="K26" s="660"/>
    </row>
    <row r="27" spans="1:11" s="619" customFormat="1" ht="12.75">
      <c r="A27" s="1091" t="s">
        <v>189</v>
      </c>
      <c r="B27" s="1092"/>
      <c r="C27" s="1092"/>
      <c r="D27" s="686"/>
      <c r="E27" s="9" t="s">
        <v>438</v>
      </c>
      <c r="F27" s="687"/>
      <c r="G27" s="687"/>
      <c r="H27" s="687"/>
      <c r="I27" s="687"/>
      <c r="J27" s="687"/>
      <c r="K27" s="688"/>
    </row>
    <row r="28" spans="1:11" s="619" customFormat="1" ht="12.75">
      <c r="A28" s="1093"/>
      <c r="B28" s="1094"/>
      <c r="C28" s="1094"/>
      <c r="D28" s="686"/>
      <c r="E28" s="687"/>
      <c r="F28" s="687"/>
      <c r="G28" s="687"/>
      <c r="H28" s="687"/>
      <c r="I28" s="687"/>
      <c r="J28" s="687"/>
      <c r="K28" s="688"/>
    </row>
    <row r="29" spans="1:11" s="619" customFormat="1" ht="12.75">
      <c r="A29" s="1093"/>
      <c r="B29" s="1094"/>
      <c r="C29" s="1094"/>
      <c r="D29" s="686"/>
      <c r="E29" s="687"/>
      <c r="F29" s="687"/>
      <c r="G29" s="687"/>
      <c r="H29" s="687"/>
      <c r="I29" s="687"/>
      <c r="J29" s="687"/>
      <c r="K29" s="688"/>
    </row>
    <row r="30" spans="1:11" ht="12.75">
      <c r="A30" s="1093"/>
      <c r="B30" s="1094"/>
      <c r="C30" s="1094"/>
      <c r="D30" s="659"/>
      <c r="E30" s="620"/>
      <c r="F30" s="620"/>
      <c r="G30" s="620"/>
      <c r="H30" s="620"/>
      <c r="I30" s="620"/>
      <c r="J30" s="620"/>
      <c r="K30" s="660"/>
    </row>
    <row r="31" spans="1:11" ht="12.75">
      <c r="A31" s="1093" t="s">
        <v>190</v>
      </c>
      <c r="B31" s="1094"/>
      <c r="C31" s="1094"/>
      <c r="D31" s="659"/>
      <c r="E31" s="620"/>
      <c r="F31" s="620"/>
      <c r="G31" s="620"/>
      <c r="H31" s="620"/>
      <c r="I31" s="620"/>
      <c r="J31" s="620"/>
      <c r="K31" s="660"/>
    </row>
    <row r="32" spans="1:11" ht="15">
      <c r="A32" s="1085" t="str">
        <f>'[3]dados de entrada'!C24</f>
        <v>Carlos Alberto Bley  </v>
      </c>
      <c r="B32" s="1086"/>
      <c r="C32" s="1086"/>
      <c r="D32" s="689"/>
      <c r="E32" s="620"/>
      <c r="F32" s="620"/>
      <c r="G32" s="620"/>
      <c r="H32" s="620"/>
      <c r="I32" s="620"/>
      <c r="J32" s="620"/>
      <c r="K32" s="660"/>
    </row>
    <row r="33" spans="1:11" ht="13.5" thickBot="1">
      <c r="A33" s="1087" t="str">
        <f>'[3]dados de entrada'!B17</f>
        <v>Engenheiro Civil - CREA SC 8.333-3</v>
      </c>
      <c r="B33" s="1088"/>
      <c r="C33" s="1088"/>
      <c r="D33" s="690"/>
      <c r="E33" s="691"/>
      <c r="F33" s="691"/>
      <c r="G33" s="691"/>
      <c r="H33" s="691"/>
      <c r="I33" s="691"/>
      <c r="J33" s="691"/>
      <c r="K33" s="692"/>
    </row>
  </sheetData>
  <sheetProtection/>
  <mergeCells count="14">
    <mergeCell ref="A32:C32"/>
    <mergeCell ref="A33:C33"/>
    <mergeCell ref="A26:C26"/>
    <mergeCell ref="A27:C27"/>
    <mergeCell ref="A28:C28"/>
    <mergeCell ref="A29:C29"/>
    <mergeCell ref="A30:C30"/>
    <mergeCell ref="A31:C31"/>
    <mergeCell ref="A1:K1"/>
    <mergeCell ref="A2:K2"/>
    <mergeCell ref="A3:C3"/>
    <mergeCell ref="A4:C4"/>
    <mergeCell ref="A6:C6"/>
    <mergeCell ref="A24:B24"/>
  </mergeCells>
  <printOptions horizontalCentered="1"/>
  <pageMargins left="0.2362204724409449" right="0.2362204724409449" top="0.8267716535433072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7.57421875" style="263" customWidth="1"/>
    <col min="2" max="2" width="7.7109375" style="344" customWidth="1"/>
    <col min="3" max="3" width="11.140625" style="321" customWidth="1"/>
    <col min="4" max="4" width="13.140625" style="321" bestFit="1" customWidth="1"/>
    <col min="5" max="5" width="11.421875" style="321" customWidth="1"/>
    <col min="6" max="6" width="11.28125" style="321" customWidth="1"/>
    <col min="7" max="7" width="13.140625" style="321" customWidth="1"/>
    <col min="8" max="8" width="11.00390625" style="321" customWidth="1"/>
    <col min="9" max="9" width="13.421875" style="321" customWidth="1"/>
    <col min="10" max="10" width="8.57421875" style="321" customWidth="1"/>
    <col min="11" max="11" width="10.421875" style="321" bestFit="1" customWidth="1"/>
    <col min="12" max="12" width="11.421875" style="321" customWidth="1"/>
    <col min="13" max="13" width="11.28125" style="321" customWidth="1"/>
    <col min="14" max="16384" width="9.140625" style="263" customWidth="1"/>
  </cols>
  <sheetData>
    <row r="1" spans="1:13" ht="18">
      <c r="A1" s="745" t="s">
        <v>61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1:13" ht="23.25" customHeight="1" thickBot="1">
      <c r="A2" s="746" t="str">
        <f>'dados de entrada'!B15</f>
        <v>PREFEITURA MUNICIPAL DE BOMBINHAS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</row>
    <row r="3" spans="1:13" ht="21" thickBot="1">
      <c r="A3" s="264" t="s">
        <v>62</v>
      </c>
      <c r="B3" s="265"/>
      <c r="C3" s="747" t="str">
        <f>'dados de entrada'!B8</f>
        <v>PAVIMENTAÇÃO ASFÁLTICA E DRENAGEM PLUVIAL</v>
      </c>
      <c r="D3" s="747"/>
      <c r="E3" s="747"/>
      <c r="F3" s="747"/>
      <c r="G3" s="747"/>
      <c r="H3" s="747"/>
      <c r="I3" s="747"/>
      <c r="J3" s="747"/>
      <c r="K3" s="747"/>
      <c r="L3" s="747"/>
      <c r="M3" s="748"/>
    </row>
    <row r="4" spans="1:13" ht="18.75" thickBot="1">
      <c r="A4" s="264" t="s">
        <v>64</v>
      </c>
      <c r="B4" s="266"/>
      <c r="C4" s="750" t="str">
        <f>'dados de entrada'!C19</f>
        <v>RUA ILHA DE MARAJÓ - BAIRRO QUATRO ILHAS</v>
      </c>
      <c r="D4" s="750"/>
      <c r="E4" s="750"/>
      <c r="F4" s="750"/>
      <c r="G4" s="750"/>
      <c r="H4" s="750"/>
      <c r="I4" s="750"/>
      <c r="J4" s="750"/>
      <c r="K4" s="482" t="s">
        <v>376</v>
      </c>
      <c r="L4" s="750" t="str">
        <f>'dados de entrada'!B11</f>
        <v>4.812.441-0</v>
      </c>
      <c r="M4" s="760"/>
    </row>
    <row r="5" spans="1:16" ht="21" customHeight="1" thickBot="1">
      <c r="A5" s="749" t="s">
        <v>318</v>
      </c>
      <c r="B5" s="749"/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749"/>
      <c r="P5" s="267" t="s">
        <v>66</v>
      </c>
    </row>
    <row r="6" spans="1:16" ht="14.25" customHeight="1">
      <c r="A6" s="751" t="s">
        <v>67</v>
      </c>
      <c r="B6" s="752"/>
      <c r="C6" s="730" t="s">
        <v>68</v>
      </c>
      <c r="D6" s="731"/>
      <c r="E6" s="268" t="s">
        <v>69</v>
      </c>
      <c r="F6" s="761" t="s">
        <v>70</v>
      </c>
      <c r="G6" s="728" t="s">
        <v>71</v>
      </c>
      <c r="H6" s="730" t="s">
        <v>72</v>
      </c>
      <c r="I6" s="731"/>
      <c r="J6" s="756" t="s">
        <v>73</v>
      </c>
      <c r="K6" s="728" t="s">
        <v>74</v>
      </c>
      <c r="L6" s="730" t="s">
        <v>75</v>
      </c>
      <c r="M6" s="731"/>
      <c r="N6" s="269"/>
      <c r="P6" s="270">
        <v>250</v>
      </c>
    </row>
    <row r="7" spans="1:14" ht="15" customHeight="1" thickBot="1">
      <c r="A7" s="743" t="s">
        <v>76</v>
      </c>
      <c r="B7" s="744"/>
      <c r="C7" s="271" t="s">
        <v>77</v>
      </c>
      <c r="D7" s="272" t="s">
        <v>78</v>
      </c>
      <c r="E7" s="273" t="s">
        <v>79</v>
      </c>
      <c r="F7" s="762"/>
      <c r="G7" s="729"/>
      <c r="H7" s="271" t="s">
        <v>67</v>
      </c>
      <c r="I7" s="272" t="s">
        <v>80</v>
      </c>
      <c r="J7" s="757"/>
      <c r="K7" s="729"/>
      <c r="L7" s="271" t="s">
        <v>81</v>
      </c>
      <c r="M7" s="272" t="s">
        <v>82</v>
      </c>
      <c r="N7" s="269"/>
    </row>
    <row r="8" spans="1:20" s="277" customFormat="1" ht="15" customHeight="1">
      <c r="A8" s="732" t="s">
        <v>339</v>
      </c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  <c r="M8" s="734"/>
      <c r="N8" s="274"/>
      <c r="O8" s="275"/>
      <c r="P8" s="276" t="s">
        <v>83</v>
      </c>
      <c r="Q8" s="275"/>
      <c r="R8" s="275"/>
      <c r="S8" s="275"/>
      <c r="T8" s="275"/>
    </row>
    <row r="9" spans="1:16" ht="15" customHeight="1">
      <c r="A9" s="443">
        <v>1</v>
      </c>
      <c r="B9" s="444" t="s">
        <v>319</v>
      </c>
      <c r="C9" s="445">
        <v>15.6</v>
      </c>
      <c r="D9" s="446">
        <v>12.57</v>
      </c>
      <c r="E9" s="447">
        <v>20</v>
      </c>
      <c r="F9" s="448">
        <v>20</v>
      </c>
      <c r="G9" s="449">
        <f>ABS((C9-D9)/E9)</f>
        <v>0.15149999999999997</v>
      </c>
      <c r="H9" s="450">
        <f>((F9*$P$6)/10000)</f>
        <v>0.5</v>
      </c>
      <c r="I9" s="451">
        <f>H9</f>
        <v>0.5</v>
      </c>
      <c r="J9" s="452">
        <v>0.7</v>
      </c>
      <c r="K9" s="453">
        <f>(2.78*J9*$P$9*I9)/1000</f>
        <v>0.08262715999999999</v>
      </c>
      <c r="L9" s="453">
        <f>1.55*(K9*$P$16/(G9^0.5))^0.375</f>
        <v>0.17008035211305247</v>
      </c>
      <c r="M9" s="454">
        <f>IF(L9&lt;0.4,0.4,IF(AND(L9&gt;0.4,L9&lt;0.6),0.6,0.8))</f>
        <v>0.4</v>
      </c>
      <c r="N9" s="269"/>
      <c r="P9" s="290">
        <v>84.92</v>
      </c>
    </row>
    <row r="10" spans="1:16" ht="15" customHeight="1">
      <c r="A10" s="443" t="str">
        <f>B9</f>
        <v>CL 1</v>
      </c>
      <c r="B10" s="444" t="s">
        <v>340</v>
      </c>
      <c r="C10" s="446">
        <f>D9</f>
        <v>12.57</v>
      </c>
      <c r="D10" s="446">
        <v>10.53</v>
      </c>
      <c r="E10" s="447">
        <v>40</v>
      </c>
      <c r="F10" s="448">
        <v>40</v>
      </c>
      <c r="G10" s="449">
        <f>ABS((C10-D10)/E10)</f>
        <v>0.051000000000000024</v>
      </c>
      <c r="H10" s="450">
        <f>((F10*$P$6)/10000)</f>
        <v>1</v>
      </c>
      <c r="I10" s="451">
        <f>H10+I9</f>
        <v>1.5</v>
      </c>
      <c r="J10" s="452">
        <v>0.7</v>
      </c>
      <c r="K10" s="453">
        <f>(2.78*J10*$P$9*I10)/1000</f>
        <v>0.24788147999999996</v>
      </c>
      <c r="L10" s="453">
        <f>1.55*(K10*$P$16/(G10^0.5))^0.375</f>
        <v>0.31494344772089955</v>
      </c>
      <c r="M10" s="454">
        <f>IF(L10&lt;0.4,0.4,IF(AND(L10&gt;0.4,L10&lt;0.6),0.6,0.8))</f>
        <v>0.4</v>
      </c>
      <c r="N10" s="269"/>
      <c r="P10" s="290"/>
    </row>
    <row r="11" spans="1:16" ht="15" customHeight="1">
      <c r="A11" s="443" t="str">
        <f>B10</f>
        <v>CL 2</v>
      </c>
      <c r="B11" s="444" t="s">
        <v>349</v>
      </c>
      <c r="C11" s="445">
        <f>D10</f>
        <v>10.53</v>
      </c>
      <c r="D11" s="446">
        <v>4.35</v>
      </c>
      <c r="E11" s="447">
        <v>40</v>
      </c>
      <c r="F11" s="448">
        <v>40</v>
      </c>
      <c r="G11" s="449">
        <f>ABS((C11-D11)/E11)</f>
        <v>0.1545</v>
      </c>
      <c r="H11" s="450">
        <f>((F11*$P$6)/10000)</f>
        <v>1</v>
      </c>
      <c r="I11" s="451">
        <f>H11+I10</f>
        <v>2.5</v>
      </c>
      <c r="J11" s="452">
        <v>0.7</v>
      </c>
      <c r="K11" s="453">
        <f>(2.78*J11*$P$9*I11)/1000</f>
        <v>0.41313579999999994</v>
      </c>
      <c r="L11" s="453">
        <f>1.55*(K11*$P$16/(G11^0.5))^0.375</f>
        <v>0.3098640378367007</v>
      </c>
      <c r="M11" s="454">
        <f>IF(L11&lt;0.4,0.4,IF(AND(L11&gt;0.4,L11&lt;0.6),0.6,0.8))</f>
        <v>0.4</v>
      </c>
      <c r="N11" s="269"/>
      <c r="P11" s="290"/>
    </row>
    <row r="12" spans="1:14" ht="15" customHeight="1">
      <c r="A12" s="443" t="str">
        <f>B11</f>
        <v>CL3</v>
      </c>
      <c r="B12" s="444">
        <v>2</v>
      </c>
      <c r="C12" s="445">
        <f>D11</f>
        <v>4.35</v>
      </c>
      <c r="D12" s="446">
        <v>1.47</v>
      </c>
      <c r="E12" s="447">
        <v>20</v>
      </c>
      <c r="F12" s="448">
        <v>40</v>
      </c>
      <c r="G12" s="449">
        <f>ABS((C12-D12)/E12)</f>
        <v>0.144</v>
      </c>
      <c r="H12" s="450">
        <f>((F12*$P$6)/10000)</f>
        <v>1</v>
      </c>
      <c r="I12" s="451">
        <f>H12+I11</f>
        <v>3.5</v>
      </c>
      <c r="J12" s="452">
        <v>0.7</v>
      </c>
      <c r="K12" s="453">
        <f>(2.78*J12*$P$9*I12)/1000</f>
        <v>0.5783901199999999</v>
      </c>
      <c r="L12" s="453">
        <f>1.55*(K12*$P$16/(G12^0.5))^0.375</f>
        <v>0.35620524719170854</v>
      </c>
      <c r="M12" s="454">
        <f>IF(L12&lt;0.4,0.4,IF(AND(L12&gt;0.4,L12&lt;0.6),0.6,0.8))</f>
        <v>0.4</v>
      </c>
      <c r="N12" s="269"/>
    </row>
    <row r="13" spans="1:16" ht="15" customHeight="1">
      <c r="A13" s="443">
        <f>B12</f>
        <v>2</v>
      </c>
      <c r="B13" s="444" t="s">
        <v>348</v>
      </c>
      <c r="C13" s="445">
        <v>1.27</v>
      </c>
      <c r="D13" s="446">
        <v>1</v>
      </c>
      <c r="E13" s="447">
        <v>13</v>
      </c>
      <c r="F13" s="448">
        <v>20</v>
      </c>
      <c r="G13" s="449">
        <f>ABS((C13-D13)/E13)</f>
        <v>0.02076923076923077</v>
      </c>
      <c r="H13" s="450">
        <f>((F13*$P$6)/10000)</f>
        <v>0.5</v>
      </c>
      <c r="I13" s="451">
        <f>H13+I12</f>
        <v>4</v>
      </c>
      <c r="J13" s="452">
        <v>0.7</v>
      </c>
      <c r="K13" s="453">
        <f>(2.78*J13*$P$9*I13)/1000</f>
        <v>0.6610172799999999</v>
      </c>
      <c r="L13" s="453">
        <f>1.55*(K13*$P$16/(G13^0.5))^0.375</f>
        <v>0.5384234082886357</v>
      </c>
      <c r="M13" s="454">
        <f>IF(L13&lt;0.4,0.4,IF(AND(L13&gt;0.4,L13&lt;0.6),0.6,0.8))</f>
        <v>0.6</v>
      </c>
      <c r="N13" s="269"/>
      <c r="P13" s="291" t="s">
        <v>84</v>
      </c>
    </row>
    <row r="14" spans="1:16" ht="15" customHeight="1">
      <c r="A14" s="443"/>
      <c r="B14" s="444"/>
      <c r="C14" s="445"/>
      <c r="D14" s="446"/>
      <c r="E14" s="447"/>
      <c r="F14" s="448"/>
      <c r="G14" s="449"/>
      <c r="H14" s="450"/>
      <c r="I14" s="451"/>
      <c r="J14" s="452"/>
      <c r="K14" s="453"/>
      <c r="L14" s="453"/>
      <c r="M14" s="454"/>
      <c r="N14" s="269"/>
      <c r="P14" s="291"/>
    </row>
    <row r="15" spans="1:16" ht="15">
      <c r="A15" s="455">
        <v>3</v>
      </c>
      <c r="B15" s="456" t="s">
        <v>350</v>
      </c>
      <c r="C15" s="457">
        <v>16.84</v>
      </c>
      <c r="D15" s="458">
        <v>15.07</v>
      </c>
      <c r="E15" s="459">
        <v>40</v>
      </c>
      <c r="F15" s="460">
        <v>20</v>
      </c>
      <c r="G15" s="449">
        <f>ABS((C15-D15)/E15)</f>
        <v>0.04424999999999999</v>
      </c>
      <c r="H15" s="450">
        <f>((F15*$P$6)/10000)</f>
        <v>0.5</v>
      </c>
      <c r="I15" s="451">
        <f>H15+I14</f>
        <v>0.5</v>
      </c>
      <c r="J15" s="452">
        <v>0.7</v>
      </c>
      <c r="K15" s="453">
        <f>(2.78*J15*$P$9*I15)/1000</f>
        <v>0.08262715999999999</v>
      </c>
      <c r="L15" s="453">
        <f>1.55*(K15*$P$16/(G15^0.5))^0.375</f>
        <v>0.214226294532535</v>
      </c>
      <c r="M15" s="454">
        <f>IF(L15&lt;0.4,0.4,IF(AND(L15&gt;0.4,L15&lt;0.6),0.6,0.8))</f>
        <v>0.4</v>
      </c>
      <c r="N15" s="269"/>
      <c r="P15" s="291"/>
    </row>
    <row r="16" spans="1:16" s="275" customFormat="1" ht="15" customHeight="1">
      <c r="A16" s="443" t="str">
        <f>B15</f>
        <v>CL4</v>
      </c>
      <c r="B16" s="444" t="s">
        <v>351</v>
      </c>
      <c r="C16" s="445">
        <f>D15</f>
        <v>15.07</v>
      </c>
      <c r="D16" s="446">
        <v>13.28</v>
      </c>
      <c r="E16" s="447">
        <v>30</v>
      </c>
      <c r="F16" s="448">
        <v>40</v>
      </c>
      <c r="G16" s="449">
        <f>ABS((C16-D16)/E16)</f>
        <v>0.059666666666666694</v>
      </c>
      <c r="H16" s="450">
        <f>((F16*$P$6)/10000)</f>
        <v>1</v>
      </c>
      <c r="I16" s="451">
        <f>H16+I15</f>
        <v>1.5</v>
      </c>
      <c r="J16" s="452">
        <v>0.7</v>
      </c>
      <c r="K16" s="453">
        <f>(2.78*J16*$P$9*I16)/1000</f>
        <v>0.24788147999999996</v>
      </c>
      <c r="L16" s="453">
        <f>1.55*(K16*$P$16/(G16^0.5))^0.375</f>
        <v>0.305810418732786</v>
      </c>
      <c r="M16" s="454">
        <f>IF(L16&lt;0.4,0.4,IF(AND(L16&gt;0.4,L16&lt;0.6),0.6,0.8))</f>
        <v>0.4</v>
      </c>
      <c r="N16" s="274"/>
      <c r="P16" s="293">
        <v>0.013</v>
      </c>
    </row>
    <row r="17" spans="1:16" s="275" customFormat="1" ht="15" customHeight="1">
      <c r="A17" s="443" t="str">
        <f>B16</f>
        <v>CL5</v>
      </c>
      <c r="B17" s="444">
        <v>4</v>
      </c>
      <c r="C17" s="445">
        <f>D16</f>
        <v>13.28</v>
      </c>
      <c r="D17" s="446">
        <v>9.52</v>
      </c>
      <c r="E17" s="447">
        <v>40</v>
      </c>
      <c r="F17" s="448">
        <v>30</v>
      </c>
      <c r="G17" s="449">
        <f>ABS((C17-D17)/E17)</f>
        <v>0.094</v>
      </c>
      <c r="H17" s="450">
        <f>((F17*$P$6)/10000)</f>
        <v>0.75</v>
      </c>
      <c r="I17" s="451">
        <f>H17+I16</f>
        <v>2.25</v>
      </c>
      <c r="J17" s="452">
        <v>0.7</v>
      </c>
      <c r="K17" s="453">
        <f>(2.78*J17*$P$9*I17)/1000</f>
        <v>0.37182222</v>
      </c>
      <c r="L17" s="453">
        <f>1.55*(K17*$P$16/(G17^0.5))^0.375</f>
        <v>0.32694502636219014</v>
      </c>
      <c r="M17" s="454">
        <f>IF(L17&lt;0.4,0.4,IF(AND(L17&gt;0.4,L17&lt;0.6),0.6,0.8))</f>
        <v>0.4</v>
      </c>
      <c r="N17" s="274"/>
      <c r="P17" s="293"/>
    </row>
    <row r="18" spans="1:14" ht="15" customHeight="1">
      <c r="A18" s="443">
        <f>B17</f>
        <v>4</v>
      </c>
      <c r="B18" s="444" t="s">
        <v>352</v>
      </c>
      <c r="C18" s="445">
        <f>D17</f>
        <v>9.52</v>
      </c>
      <c r="D18" s="446">
        <v>3</v>
      </c>
      <c r="E18" s="447">
        <v>30</v>
      </c>
      <c r="F18" s="448">
        <v>40</v>
      </c>
      <c r="G18" s="449">
        <f>ABS((C18-D18)/E18)</f>
        <v>0.21733333333333332</v>
      </c>
      <c r="H18" s="450">
        <f>((F18*$P$6)/10000)</f>
        <v>1</v>
      </c>
      <c r="I18" s="451">
        <f>H18+I17</f>
        <v>3.25</v>
      </c>
      <c r="J18" s="452">
        <v>0.7</v>
      </c>
      <c r="K18" s="453">
        <f>(2.78*J18*$P$9*I18)/1000</f>
        <v>0.5370765399999999</v>
      </c>
      <c r="L18" s="453">
        <f>1.55*(K18*$P$16/(G18^0.5))^0.375</f>
        <v>0.3207102458717199</v>
      </c>
      <c r="M18" s="454">
        <f>IF(L18&lt;0.4,0.4,IF(AND(L18&gt;0.4,L18&lt;0.6),0.6,0.8))</f>
        <v>0.4</v>
      </c>
      <c r="N18" s="269"/>
    </row>
    <row r="19" spans="1:14" ht="15" customHeight="1">
      <c r="A19" s="443" t="str">
        <f>B18</f>
        <v>CL6</v>
      </c>
      <c r="B19" s="444" t="s">
        <v>348</v>
      </c>
      <c r="C19" s="445">
        <v>2.8</v>
      </c>
      <c r="D19" s="446">
        <v>1</v>
      </c>
      <c r="E19" s="447">
        <v>25</v>
      </c>
      <c r="F19" s="448">
        <v>30</v>
      </c>
      <c r="G19" s="449">
        <f>ABS((C19-D19)/E19)</f>
        <v>0.072</v>
      </c>
      <c r="H19" s="450">
        <f>((F19*$P$6)/10000)</f>
        <v>0.75</v>
      </c>
      <c r="I19" s="451">
        <f>H19+I18</f>
        <v>4</v>
      </c>
      <c r="J19" s="452">
        <v>0.7</v>
      </c>
      <c r="K19" s="453">
        <f>(2.78*J19*$P$9*I19)/1000</f>
        <v>0.6610172799999999</v>
      </c>
      <c r="L19" s="453">
        <f>1.55*(K19*$P$16/(G19^0.5))^0.375</f>
        <v>0.4264718960393972</v>
      </c>
      <c r="M19" s="454">
        <f>IF(L19&lt;0.4,0.4,IF(AND(L19&gt;0.4,L19&lt;0.6),0.6,0.8))</f>
        <v>0.6</v>
      </c>
      <c r="N19" s="269"/>
    </row>
    <row r="20" spans="1:14" ht="15" customHeight="1">
      <c r="A20" s="278"/>
      <c r="B20" s="279"/>
      <c r="C20" s="280"/>
      <c r="D20" s="281"/>
      <c r="E20" s="282"/>
      <c r="F20" s="283"/>
      <c r="G20" s="284"/>
      <c r="H20" s="285"/>
      <c r="I20" s="286"/>
      <c r="J20" s="287"/>
      <c r="K20" s="288"/>
      <c r="L20" s="288"/>
      <c r="M20" s="289"/>
      <c r="N20" s="269"/>
    </row>
    <row r="21" spans="1:14" ht="15" customHeight="1">
      <c r="A21" s="294"/>
      <c r="B21" s="279"/>
      <c r="C21" s="280"/>
      <c r="D21" s="281"/>
      <c r="E21" s="282"/>
      <c r="F21" s="283"/>
      <c r="G21" s="284"/>
      <c r="H21" s="285"/>
      <c r="I21" s="286"/>
      <c r="J21" s="287"/>
      <c r="K21" s="288"/>
      <c r="L21" s="288"/>
      <c r="M21" s="289"/>
      <c r="N21" s="269"/>
    </row>
    <row r="22" spans="1:14" s="275" customFormat="1" ht="15" customHeight="1">
      <c r="A22" s="295"/>
      <c r="B22" s="279"/>
      <c r="C22" s="296"/>
      <c r="D22" s="292"/>
      <c r="E22" s="297"/>
      <c r="F22" s="298"/>
      <c r="G22" s="284"/>
      <c r="H22" s="285"/>
      <c r="I22" s="286"/>
      <c r="J22" s="287"/>
      <c r="K22" s="288"/>
      <c r="L22" s="288"/>
      <c r="M22" s="289"/>
      <c r="N22" s="274"/>
    </row>
    <row r="23" spans="1:14" s="275" customFormat="1" ht="15" customHeight="1" thickBot="1">
      <c r="A23" s="295"/>
      <c r="B23" s="279"/>
      <c r="C23" s="296"/>
      <c r="D23" s="292"/>
      <c r="E23" s="297"/>
      <c r="F23" s="298"/>
      <c r="G23" s="284"/>
      <c r="H23" s="299"/>
      <c r="I23" s="286"/>
      <c r="J23" s="287"/>
      <c r="K23" s="288"/>
      <c r="L23" s="288"/>
      <c r="M23" s="289"/>
      <c r="N23" s="274"/>
    </row>
    <row r="24" spans="1:14" s="275" customFormat="1" ht="15" customHeight="1">
      <c r="A24" s="735" t="s">
        <v>264</v>
      </c>
      <c r="B24" s="736"/>
      <c r="C24" s="736"/>
      <c r="D24" s="736"/>
      <c r="E24" s="737"/>
      <c r="F24" s="300" t="s">
        <v>320</v>
      </c>
      <c r="G24" s="301"/>
      <c r="H24" s="302"/>
      <c r="I24" s="303" t="s">
        <v>87</v>
      </c>
      <c r="J24" s="304"/>
      <c r="K24" s="304"/>
      <c r="L24" s="304"/>
      <c r="M24" s="305"/>
      <c r="N24" s="274"/>
    </row>
    <row r="25" spans="1:14" s="275" customFormat="1" ht="15" customHeight="1">
      <c r="A25" s="306"/>
      <c r="B25" s="307"/>
      <c r="C25" s="308"/>
      <c r="D25" s="309"/>
      <c r="E25" s="310"/>
      <c r="F25" s="311"/>
      <c r="G25" s="312"/>
      <c r="H25" s="313"/>
      <c r="I25" s="314"/>
      <c r="J25" s="315"/>
      <c r="K25" s="316"/>
      <c r="L25" s="738"/>
      <c r="M25" s="739"/>
      <c r="N25" s="274"/>
    </row>
    <row r="26" spans="1:13" ht="15">
      <c r="A26" s="317"/>
      <c r="B26" s="318"/>
      <c r="C26" s="319"/>
      <c r="D26" s="320"/>
      <c r="F26" s="322"/>
      <c r="G26" s="323"/>
      <c r="I26" s="324"/>
      <c r="J26" s="325"/>
      <c r="K26" s="326"/>
      <c r="L26" s="758"/>
      <c r="M26" s="759"/>
    </row>
    <row r="27" spans="1:13" ht="13.5" thickBot="1">
      <c r="A27" s="327"/>
      <c r="B27" s="328"/>
      <c r="C27" s="329"/>
      <c r="D27" s="330"/>
      <c r="E27" s="331"/>
      <c r="F27" s="332"/>
      <c r="G27" s="333"/>
      <c r="H27" s="331"/>
      <c r="I27" s="331"/>
      <c r="J27" s="334"/>
      <c r="K27" s="335"/>
      <c r="L27" s="336"/>
      <c r="M27" s="337"/>
    </row>
    <row r="28" spans="1:13" ht="15">
      <c r="A28" s="338"/>
      <c r="B28" s="339"/>
      <c r="C28" s="340"/>
      <c r="D28" s="340"/>
      <c r="E28" s="340"/>
      <c r="F28" s="340"/>
      <c r="G28" s="340"/>
      <c r="H28" s="340"/>
      <c r="I28" s="341"/>
      <c r="J28" s="342" t="s">
        <v>85</v>
      </c>
      <c r="K28" s="340"/>
      <c r="L28" s="340"/>
      <c r="M28" s="341"/>
    </row>
    <row r="29" spans="1:13" ht="15">
      <c r="A29" s="343"/>
      <c r="I29" s="345"/>
      <c r="J29" s="346"/>
      <c r="M29" s="345"/>
    </row>
    <row r="30" spans="1:13" ht="15">
      <c r="A30" s="343"/>
      <c r="I30" s="345"/>
      <c r="J30" s="753" t="s">
        <v>21</v>
      </c>
      <c r="K30" s="754"/>
      <c r="L30" s="754"/>
      <c r="M30" s="755"/>
    </row>
    <row r="31" spans="1:13" ht="15.75">
      <c r="A31" s="343"/>
      <c r="H31" s="347"/>
      <c r="I31" s="348"/>
      <c r="J31" s="740" t="str">
        <f>'[2]Dados de Entrada'!B6</f>
        <v>Carlos Alberto Bley</v>
      </c>
      <c r="K31" s="741"/>
      <c r="L31" s="741"/>
      <c r="M31" s="742"/>
    </row>
    <row r="32" spans="1:13" ht="15.75" thickBot="1">
      <c r="A32" s="349"/>
      <c r="B32" s="350"/>
      <c r="C32" s="351"/>
      <c r="D32" s="331"/>
      <c r="E32" s="351"/>
      <c r="F32" s="352"/>
      <c r="G32" s="353"/>
      <c r="H32" s="354"/>
      <c r="I32" s="355"/>
      <c r="J32" s="725" t="str">
        <f>'[2]Dados de Entrada'!B17</f>
        <v>Engenheiro Civil - CREA SC: 8.333-3</v>
      </c>
      <c r="K32" s="726"/>
      <c r="L32" s="726"/>
      <c r="M32" s="727"/>
    </row>
    <row r="33" spans="1:14" s="275" customFormat="1" ht="15" customHeight="1">
      <c r="A33" s="263"/>
      <c r="B33" s="344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274"/>
    </row>
    <row r="34" spans="1:14" s="275" customFormat="1" ht="15" customHeight="1">
      <c r="A34" s="263"/>
      <c r="B34" s="344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274"/>
    </row>
    <row r="35" spans="1:14" s="275" customFormat="1" ht="15">
      <c r="A35" s="263"/>
      <c r="B35" s="344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274"/>
    </row>
  </sheetData>
  <sheetProtection/>
  <mergeCells count="22">
    <mergeCell ref="J30:M30"/>
    <mergeCell ref="J6:J7"/>
    <mergeCell ref="L26:M26"/>
    <mergeCell ref="C6:D6"/>
    <mergeCell ref="L4:M4"/>
    <mergeCell ref="F6:F7"/>
    <mergeCell ref="A1:M1"/>
    <mergeCell ref="A2:M2"/>
    <mergeCell ref="C3:M3"/>
    <mergeCell ref="A5:M5"/>
    <mergeCell ref="C4:J4"/>
    <mergeCell ref="A6:B6"/>
    <mergeCell ref="J32:M32"/>
    <mergeCell ref="K6:K7"/>
    <mergeCell ref="L6:M6"/>
    <mergeCell ref="A8:M8"/>
    <mergeCell ref="A24:E24"/>
    <mergeCell ref="L25:M25"/>
    <mergeCell ref="G6:G7"/>
    <mergeCell ref="J31:M31"/>
    <mergeCell ref="A7:B7"/>
    <mergeCell ref="H6:I6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17798425" r:id="rId1"/>
    <oleObject progId="Equation.3" shapeId="17798426" r:id="rId2"/>
    <oleObject progId="Equation.3" shapeId="17798427" r:id="rId3"/>
    <oleObject progId="Equation.3" shapeId="17798428" r:id="rId4"/>
    <oleObject progId="Equation.3" shapeId="17798429" r:id="rId5"/>
    <oleObject progId="Equation.3" shapeId="17798430" r:id="rId6"/>
    <oleObject progId="Equation.3" shapeId="17798431" r:id="rId7"/>
    <oleObject progId="Equation.3" shapeId="17798432" r:id="rId8"/>
    <oleObject progId="Equation.3" shapeId="17798433" r:id="rId9"/>
    <oleObject progId="Equation.3" shapeId="17798434" r:id="rId10"/>
    <oleObject progId="Equation.3" shapeId="17798435" r:id="rId11"/>
    <oleObject progId="Equation.3" shapeId="17798436" r:id="rId12"/>
    <oleObject progId="Equation.3" shapeId="17798437" r:id="rId13"/>
    <oleObject progId="Equation.3" shapeId="17798438" r:id="rId14"/>
    <oleObject progId="Equation.3" shapeId="17798439" r:id="rId15"/>
    <oleObject progId="Equation.3" shapeId="17798440" r:id="rId16"/>
    <oleObject progId="Equation.3" shapeId="17798441" r:id="rId17"/>
    <oleObject progId="Equation.3" shapeId="17798442" r:id="rId18"/>
    <oleObject progId="Equation.3" shapeId="17798443" r:id="rId19"/>
    <oleObject progId="Equation.3" shapeId="17798444" r:id="rId20"/>
    <oleObject progId="Equation.3" shapeId="17798445" r:id="rId21"/>
    <oleObject progId="Equation.3" shapeId="17798446" r:id="rId22"/>
    <oleObject progId="Equation.3" shapeId="17798447" r:id="rId23"/>
    <oleObject progId="Equation.3" shapeId="17798448" r:id="rId24"/>
    <oleObject progId="Equation.3" shapeId="17798449" r:id="rId25"/>
    <oleObject progId="Equation.3" shapeId="17798450" r:id="rId26"/>
    <oleObject progId="Equation.3" shapeId="17798451" r:id="rId27"/>
    <oleObject progId="Equation.3" shapeId="17798452" r:id="rId28"/>
    <oleObject progId="Equation.3" shapeId="17798453" r:id="rId29"/>
    <oleObject progId="Equation.3" shapeId="17798454" r:id="rId3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Y76"/>
  <sheetViews>
    <sheetView zoomScale="85" zoomScaleNormal="85" workbookViewId="0" topLeftCell="A1">
      <selection activeCell="S20" sqref="S20"/>
    </sheetView>
  </sheetViews>
  <sheetFormatPr defaultColWidth="9.140625" defaultRowHeight="12.75"/>
  <cols>
    <col min="1" max="1" width="7.57421875" style="22" customWidth="1"/>
    <col min="2" max="2" width="6.421875" style="22" bestFit="1" customWidth="1"/>
    <col min="3" max="3" width="5.8515625" style="22" customWidth="1"/>
    <col min="4" max="4" width="11.421875" style="22" bestFit="1" customWidth="1"/>
    <col min="5" max="5" width="8.8515625" style="22" bestFit="1" customWidth="1"/>
    <col min="6" max="6" width="11.28125" style="22" bestFit="1" customWidth="1"/>
    <col min="7" max="7" width="9.28125" style="22" bestFit="1" customWidth="1"/>
    <col min="8" max="8" width="9.140625" style="22" bestFit="1" customWidth="1"/>
    <col min="9" max="9" width="10.57421875" style="22" bestFit="1" customWidth="1"/>
    <col min="10" max="10" width="11.140625" style="22" bestFit="1" customWidth="1"/>
    <col min="11" max="11" width="7.00390625" style="22" bestFit="1" customWidth="1"/>
    <col min="12" max="12" width="13.57421875" style="22" customWidth="1"/>
    <col min="13" max="13" width="9.57421875" style="22" bestFit="1" customWidth="1"/>
    <col min="14" max="14" width="14.57421875" style="22" bestFit="1" customWidth="1"/>
    <col min="15" max="15" width="16.140625" style="22" bestFit="1" customWidth="1"/>
    <col min="16" max="16" width="10.421875" style="22" bestFit="1" customWidth="1"/>
    <col min="17" max="17" width="15.421875" style="22" bestFit="1" customWidth="1"/>
    <col min="18" max="18" width="14.140625" style="22" bestFit="1" customWidth="1"/>
    <col min="19" max="19" width="14.140625" style="22" customWidth="1"/>
    <col min="20" max="22" width="9.140625" style="22" customWidth="1"/>
    <col min="23" max="23" width="10.00390625" style="22" bestFit="1" customWidth="1"/>
    <col min="24" max="24" width="24.421875" style="22" customWidth="1"/>
    <col min="25" max="25" width="17.00390625" style="22" customWidth="1"/>
    <col min="26" max="16384" width="9.140625" style="22" customWidth="1"/>
  </cols>
  <sheetData>
    <row r="1" spans="1:19" ht="18">
      <c r="A1" s="763" t="s">
        <v>61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</row>
    <row r="2" spans="1:19" ht="27" thickBot="1">
      <c r="A2" s="781" t="str">
        <f>'dados de entrada'!B15</f>
        <v>PREFEITURA MUNICIPAL DE BOMBINHAS</v>
      </c>
      <c r="B2" s="781"/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</row>
    <row r="3" spans="1:19" ht="21" thickBot="1">
      <c r="A3" s="23" t="s">
        <v>62</v>
      </c>
      <c r="B3" s="24"/>
      <c r="C3" s="24"/>
      <c r="D3" s="784" t="str">
        <f>'dados de entrada'!B8</f>
        <v>PAVIMENTAÇÃO ASFÁLTICA E DRENAGEM PLUVIAL</v>
      </c>
      <c r="E3" s="784"/>
      <c r="F3" s="784"/>
      <c r="G3" s="784"/>
      <c r="H3" s="784"/>
      <c r="I3" s="784"/>
      <c r="J3" s="784"/>
      <c r="K3" s="784"/>
      <c r="L3" s="785"/>
      <c r="M3" s="782" t="s">
        <v>63</v>
      </c>
      <c r="N3" s="783"/>
      <c r="O3" s="127">
        <f>'dados de entrada'!B3</f>
        <v>41699</v>
      </c>
      <c r="P3" s="788" t="s">
        <v>379</v>
      </c>
      <c r="Q3" s="789"/>
      <c r="R3" s="790" t="str">
        <f>'dados de entrada'!B11</f>
        <v>4.812.441-0</v>
      </c>
      <c r="S3" s="791"/>
    </row>
    <row r="4" spans="1:19" ht="18.75" thickBot="1">
      <c r="A4" s="23" t="s">
        <v>64</v>
      </c>
      <c r="B4" s="25"/>
      <c r="C4" s="25"/>
      <c r="D4" s="784" t="str">
        <f>'dados de entrada'!C19</f>
        <v>RUA ILHA DE MARAJÓ - BAIRRO QUATRO ILHAS</v>
      </c>
      <c r="E4" s="784"/>
      <c r="F4" s="784"/>
      <c r="G4" s="784"/>
      <c r="H4" s="784"/>
      <c r="I4" s="784"/>
      <c r="J4" s="784"/>
      <c r="K4" s="784"/>
      <c r="L4" s="785"/>
      <c r="M4" s="765" t="s">
        <v>65</v>
      </c>
      <c r="N4" s="766"/>
      <c r="O4" s="766"/>
      <c r="P4" s="766"/>
      <c r="Q4" s="766"/>
      <c r="R4" s="766"/>
      <c r="S4" s="767"/>
    </row>
    <row r="5" spans="1:19" ht="20.25">
      <c r="A5" s="764" t="s">
        <v>144</v>
      </c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</row>
    <row r="6" spans="1:18" ht="21" thickBot="1">
      <c r="A6" s="805" t="s">
        <v>88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5"/>
      <c r="M6" s="805"/>
      <c r="N6" s="805"/>
      <c r="O6" s="805"/>
      <c r="P6" s="805"/>
      <c r="Q6" s="805"/>
      <c r="R6" s="805"/>
    </row>
    <row r="7" spans="1:18" s="37" customFormat="1" ht="45.75" thickBot="1">
      <c r="A7" s="26"/>
      <c r="B7" s="26"/>
      <c r="C7" s="26"/>
      <c r="D7" s="27"/>
      <c r="E7" s="27"/>
      <c r="F7" s="28" t="s">
        <v>89</v>
      </c>
      <c r="G7" s="27"/>
      <c r="H7" s="29" t="s">
        <v>90</v>
      </c>
      <c r="I7" s="30"/>
      <c r="J7" s="31" t="s">
        <v>91</v>
      </c>
      <c r="K7" s="32"/>
      <c r="L7" s="33" t="s">
        <v>92</v>
      </c>
      <c r="M7" s="34" t="s">
        <v>93</v>
      </c>
      <c r="N7" s="35" t="s">
        <v>105</v>
      </c>
      <c r="O7" s="27"/>
      <c r="P7" s="27"/>
      <c r="Q7" s="29" t="s">
        <v>106</v>
      </c>
      <c r="R7" s="36" t="s">
        <v>94</v>
      </c>
    </row>
    <row r="8" spans="1:18" s="37" customFormat="1" ht="15.75" thickBot="1">
      <c r="A8" s="38"/>
      <c r="B8" s="38"/>
      <c r="C8" s="38"/>
      <c r="D8" s="39"/>
      <c r="E8" s="39"/>
      <c r="F8" s="473">
        <v>104</v>
      </c>
      <c r="G8" s="39"/>
      <c r="H8" s="40">
        <v>0.3</v>
      </c>
      <c r="I8" s="41"/>
      <c r="J8" s="42">
        <v>1.2</v>
      </c>
      <c r="K8" s="43"/>
      <c r="L8" s="44">
        <v>0.39</v>
      </c>
      <c r="M8" s="45">
        <v>0.6</v>
      </c>
      <c r="N8" s="46">
        <f>M8*F8*J8</f>
        <v>74.88</v>
      </c>
      <c r="O8" s="39"/>
      <c r="P8" s="39"/>
      <c r="Q8" s="47">
        <f>(((PI()*(L8^2))/4))*F8</f>
        <v>12.423742307886197</v>
      </c>
      <c r="R8" s="42">
        <f>N8-(Q8)</f>
        <v>62.456257692113795</v>
      </c>
    </row>
    <row r="9" spans="1:18" ht="21" thickBot="1">
      <c r="A9" s="805" t="s">
        <v>95</v>
      </c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</row>
    <row r="10" spans="1:23" s="48" customFormat="1" ht="60.75" thickBot="1">
      <c r="A10" s="806" t="s">
        <v>96</v>
      </c>
      <c r="B10" s="807"/>
      <c r="C10" s="64" t="s">
        <v>253</v>
      </c>
      <c r="D10" s="64" t="s">
        <v>107</v>
      </c>
      <c r="E10" s="64" t="s">
        <v>108</v>
      </c>
      <c r="F10" s="64" t="s">
        <v>97</v>
      </c>
      <c r="G10" s="64" t="s">
        <v>98</v>
      </c>
      <c r="H10" s="64" t="s">
        <v>90</v>
      </c>
      <c r="I10" s="64" t="s">
        <v>164</v>
      </c>
      <c r="J10" s="64" t="s">
        <v>109</v>
      </c>
      <c r="K10" s="64" t="s">
        <v>99</v>
      </c>
      <c r="L10" s="64" t="s">
        <v>92</v>
      </c>
      <c r="M10" s="64" t="s">
        <v>93</v>
      </c>
      <c r="N10" s="64" t="s">
        <v>110</v>
      </c>
      <c r="O10" s="64" t="s">
        <v>146</v>
      </c>
      <c r="P10" s="64" t="s">
        <v>100</v>
      </c>
      <c r="Q10" s="64" t="s">
        <v>106</v>
      </c>
      <c r="R10" s="36" t="s">
        <v>111</v>
      </c>
      <c r="S10" s="65" t="s">
        <v>163</v>
      </c>
      <c r="T10" s="194"/>
      <c r="U10" s="195"/>
      <c r="V10" s="195"/>
      <c r="W10" s="196"/>
    </row>
    <row r="11" spans="1:23" s="49" customFormat="1" ht="15">
      <c r="A11" s="156">
        <f>Drenagem!A9</f>
        <v>1</v>
      </c>
      <c r="B11" s="155" t="str">
        <f>Drenagem!B9</f>
        <v>CL 1</v>
      </c>
      <c r="C11" s="151"/>
      <c r="D11" s="67">
        <v>1.5</v>
      </c>
      <c r="E11" s="67">
        <v>1.5</v>
      </c>
      <c r="F11" s="67">
        <f>Drenagem!E9</f>
        <v>20</v>
      </c>
      <c r="G11" s="67">
        <v>1</v>
      </c>
      <c r="H11" s="67">
        <f>Drenagem!M9</f>
        <v>0.4</v>
      </c>
      <c r="I11" s="67">
        <f>G11*F11</f>
        <v>20</v>
      </c>
      <c r="J11" s="67">
        <f>AVERAGE(D11:E11)</f>
        <v>1.5</v>
      </c>
      <c r="K11" s="67">
        <f>IF(H11=0.4,0.2,IF(H11=0.6,0.35,IF(H11=0.8,0.4,IF(H11=1,0.45,IF(H11=1.2,0.5,IF(H11=1.5,0.6))))))</f>
        <v>0.2</v>
      </c>
      <c r="L11" s="70">
        <f>IF(H11=0.4,0.49,IF(H11=0.6,0.72,IF(H11=0.8,0.95,IF(H11=1,1.16,IF(H11=1.2,1.4,IF(H11=1.5,1.7))))))</f>
        <v>0.49</v>
      </c>
      <c r="M11" s="67">
        <f>IF(G11=1,(L11*G11)+(K11*2),((L11*G11)+(K11*2)+0.3))</f>
        <v>0.89</v>
      </c>
      <c r="N11" s="67">
        <f>IF(J11&lt;=1.5,F11*J11*M11,F11*1.5*M11)</f>
        <v>26.7</v>
      </c>
      <c r="O11" s="144" t="str">
        <f>IF(J11&gt;1.5,((J11-1.5)*M11*F11),"0")</f>
        <v>0</v>
      </c>
      <c r="P11" s="67">
        <f>0.06*0.6*I11</f>
        <v>0.72</v>
      </c>
      <c r="Q11" s="67">
        <f>(((PI()*(L11^2))/4)*G11)*F11</f>
        <v>3.771481980634546</v>
      </c>
      <c r="R11" s="67">
        <f>(N11+O11)-(P11+Q11)</f>
        <v>22.208518019365453</v>
      </c>
      <c r="S11" s="71">
        <f>IF(J11&lt;=1.5,0,(F11*2)*J11)</f>
        <v>0</v>
      </c>
      <c r="T11" s="197"/>
      <c r="U11" s="197"/>
      <c r="V11" s="197"/>
      <c r="W11" s="198"/>
    </row>
    <row r="12" spans="1:23" s="49" customFormat="1" ht="15">
      <c r="A12" s="73" t="str">
        <f>Drenagem!A10</f>
        <v>CL 1</v>
      </c>
      <c r="B12" s="69" t="str">
        <f>Drenagem!B10</f>
        <v>CL 2</v>
      </c>
      <c r="C12" s="152"/>
      <c r="D12" s="63">
        <f>E11</f>
        <v>1.5</v>
      </c>
      <c r="E12" s="63">
        <v>1.5</v>
      </c>
      <c r="F12" s="63">
        <f>Drenagem!E10</f>
        <v>40</v>
      </c>
      <c r="G12" s="63">
        <v>1</v>
      </c>
      <c r="H12" s="63">
        <f>Drenagem!M10</f>
        <v>0.4</v>
      </c>
      <c r="I12" s="63">
        <f>G12*F12</f>
        <v>40</v>
      </c>
      <c r="J12" s="63">
        <f>AVERAGE(D12:E12)</f>
        <v>1.5</v>
      </c>
      <c r="K12" s="63">
        <f>IF(H12=0.4,0.2,IF(H12=0.6,0.35,IF(H12=0.8,0.4,IF(H12=1,0.45,IF(H12=1.2,0.5,IF(H12=1.5,0.6))))))</f>
        <v>0.2</v>
      </c>
      <c r="L12" s="66">
        <f>IF(H12=0.4,0.49,IF(H12=0.6,0.72,IF(H12=0.8,0.95,IF(H12=1,1.16,IF(H12=1.2,1.4,IF(H12=1.5,1.7))))))</f>
        <v>0.49</v>
      </c>
      <c r="M12" s="63">
        <f>IF(G12=1,(L12*G12)+(K12*2),((L12*G12)+(K12*2)+0.3))</f>
        <v>0.89</v>
      </c>
      <c r="N12" s="63">
        <f>IF(J12&lt;=1.5,F12*J12*M12,F12*1.5*M12)</f>
        <v>53.4</v>
      </c>
      <c r="O12" s="143" t="str">
        <f>IF(J12&gt;1.5,((J12-1.5)*M12*F12),"0")</f>
        <v>0</v>
      </c>
      <c r="P12" s="63">
        <f>0.06*0.6*I12</f>
        <v>1.44</v>
      </c>
      <c r="Q12" s="63">
        <f>(((PI()*(L12^2))/4)*G12)*F12</f>
        <v>7.542963961269092</v>
      </c>
      <c r="R12" s="63">
        <f>(N12+O12)-(P12+Q12)</f>
        <v>44.417036038730906</v>
      </c>
      <c r="S12" s="72">
        <f>IF(J12&lt;=1.5,0,(F12*2)*J12)</f>
        <v>0</v>
      </c>
      <c r="T12" s="197"/>
      <c r="U12" s="197"/>
      <c r="V12" s="197"/>
      <c r="W12" s="198"/>
    </row>
    <row r="13" spans="1:23" s="49" customFormat="1" ht="15">
      <c r="A13" s="73" t="str">
        <f>Drenagem!A11</f>
        <v>CL 2</v>
      </c>
      <c r="B13" s="69" t="str">
        <f>Drenagem!B11</f>
        <v>CL3</v>
      </c>
      <c r="C13" s="152"/>
      <c r="D13" s="63">
        <f>E12</f>
        <v>1.5</v>
      </c>
      <c r="E13" s="63">
        <v>1.5</v>
      </c>
      <c r="F13" s="63">
        <f>Drenagem!E11</f>
        <v>40</v>
      </c>
      <c r="G13" s="63">
        <v>1</v>
      </c>
      <c r="H13" s="63">
        <f>Drenagem!M11</f>
        <v>0.4</v>
      </c>
      <c r="I13" s="63">
        <f>G13*F13</f>
        <v>40</v>
      </c>
      <c r="J13" s="63">
        <f>AVERAGE(D13:E13)</f>
        <v>1.5</v>
      </c>
      <c r="K13" s="63">
        <f>IF(H13=0.4,0.2,IF(H13=0.6,0.35,IF(H13=0.8,0.4,IF(H13=1,0.45,IF(H13=1.2,0.5,IF(H13=1.5,0.6))))))</f>
        <v>0.2</v>
      </c>
      <c r="L13" s="66">
        <f>IF(H13=0.4,0.49,IF(H13=0.6,0.72,IF(H13=0.8,0.95,IF(H13=1,1.16,IF(H13=1.2,1.4,IF(H13=1.5,1.7))))))</f>
        <v>0.49</v>
      </c>
      <c r="M13" s="63">
        <f>IF(G13=1,(L13*G13)+(K13*2),((L13*G13)+(K13*2)+0.3))</f>
        <v>0.89</v>
      </c>
      <c r="N13" s="63">
        <f>IF(J13&lt;=1.5,F13*J13*M13,F13*1.5*M13)</f>
        <v>53.4</v>
      </c>
      <c r="O13" s="143" t="str">
        <f>IF(J13&gt;1.5,((J13-1.5)*M13*F13),"0")</f>
        <v>0</v>
      </c>
      <c r="P13" s="63">
        <f>0.06*0.6*I13</f>
        <v>1.44</v>
      </c>
      <c r="Q13" s="63">
        <f>(((PI()*(L13^2))/4)*G13)*F13</f>
        <v>7.542963961269092</v>
      </c>
      <c r="R13" s="63">
        <f>(N13+O13)-(P13+Q13)</f>
        <v>44.417036038730906</v>
      </c>
      <c r="S13" s="72">
        <f>IF(J13&lt;=1.5,0,(F13*2)*J13)</f>
        <v>0</v>
      </c>
      <c r="T13" s="197"/>
      <c r="U13" s="197"/>
      <c r="V13" s="197"/>
      <c r="W13" s="198"/>
    </row>
    <row r="14" spans="1:23" s="49" customFormat="1" ht="15">
      <c r="A14" s="73" t="str">
        <f>Drenagem!A12</f>
        <v>CL3</v>
      </c>
      <c r="B14" s="69">
        <f>Drenagem!B12</f>
        <v>2</v>
      </c>
      <c r="C14" s="152"/>
      <c r="D14" s="63">
        <f>E13</f>
        <v>1.5</v>
      </c>
      <c r="E14" s="63">
        <v>1.5</v>
      </c>
      <c r="F14" s="63">
        <f>Drenagem!E12</f>
        <v>20</v>
      </c>
      <c r="G14" s="63">
        <v>1</v>
      </c>
      <c r="H14" s="63">
        <f>Drenagem!M12</f>
        <v>0.4</v>
      </c>
      <c r="I14" s="63">
        <f>G14*F14</f>
        <v>20</v>
      </c>
      <c r="J14" s="63">
        <f>AVERAGE(D14:E14)</f>
        <v>1.5</v>
      </c>
      <c r="K14" s="63">
        <f>IF(H14=0.4,0.2,IF(H14=0.6,0.35,IF(H14=0.8,0.4,IF(H14=1,0.45,IF(H14=1.2,0.5,IF(H14=1.5,0.6))))))</f>
        <v>0.2</v>
      </c>
      <c r="L14" s="66">
        <f>IF(H14=0.4,0.49,IF(H14=0.6,0.72,IF(H14=0.8,0.95,IF(H14=1,1.16,IF(H14=1.2,1.4,IF(H14=1.5,1.7))))))</f>
        <v>0.49</v>
      </c>
      <c r="M14" s="63">
        <f>IF(G14=1,(L14*G14)+(K14*2),((L14*G14)+(K14*2)+0.3))</f>
        <v>0.89</v>
      </c>
      <c r="N14" s="63">
        <f>IF(J14&lt;=1.5,F14*J14*M14,F14*1.5*M14)</f>
        <v>26.7</v>
      </c>
      <c r="O14" s="143" t="str">
        <f>IF(J14&gt;1.5,((J14-1.5)*M14*F14),"0")</f>
        <v>0</v>
      </c>
      <c r="P14" s="63">
        <f>0.06*0.6*I14</f>
        <v>0.72</v>
      </c>
      <c r="Q14" s="63">
        <f>(((PI()*(L14^2))/4)*G14)*F14</f>
        <v>3.771481980634546</v>
      </c>
      <c r="R14" s="63">
        <f>(N14+O14)-(P14+Q14)</f>
        <v>22.208518019365453</v>
      </c>
      <c r="S14" s="72">
        <f>IF(J14&lt;=1.5,0,(F14*2)*J14)</f>
        <v>0</v>
      </c>
      <c r="T14" s="197"/>
      <c r="U14" s="197"/>
      <c r="V14" s="197"/>
      <c r="W14" s="198"/>
    </row>
    <row r="15" spans="1:23" s="49" customFormat="1" ht="15">
      <c r="A15" s="73">
        <f>Drenagem!A13</f>
        <v>2</v>
      </c>
      <c r="B15" s="69" t="str">
        <f>Drenagem!B13</f>
        <v>PVE</v>
      </c>
      <c r="C15" s="152"/>
      <c r="D15" s="63">
        <v>1.7</v>
      </c>
      <c r="E15" s="63">
        <v>1.26</v>
      </c>
      <c r="F15" s="63">
        <f>Drenagem!E13</f>
        <v>13</v>
      </c>
      <c r="G15" s="63">
        <v>1</v>
      </c>
      <c r="H15" s="63">
        <f>Drenagem!M13</f>
        <v>0.6</v>
      </c>
      <c r="I15" s="63">
        <f>G15*F15</f>
        <v>13</v>
      </c>
      <c r="J15" s="63">
        <f>AVERAGE(D15:E15)</f>
        <v>1.48</v>
      </c>
      <c r="K15" s="63">
        <f>IF(H15=0.4,0.2,IF(H15=0.6,0.35,IF(H15=0.8,0.4,IF(H15=1,0.45,IF(H15=1.2,0.5,IF(H15=1.5,0.6))))))</f>
        <v>0.35</v>
      </c>
      <c r="L15" s="66">
        <f>IF(H15=0.4,0.49,IF(H15=0.6,0.72,IF(H15=0.8,0.95,IF(H15=1,1.16,IF(H15=1.2,1.4,IF(H15=1.5,1.7))))))</f>
        <v>0.72</v>
      </c>
      <c r="M15" s="63">
        <f>IF(G15=1,(L15*G15)+(K15*2),((L15*G15)+(K15*2)+0.3))</f>
        <v>1.42</v>
      </c>
      <c r="N15" s="63">
        <f>IF(J15&lt;=1.5,F15*J15*M15,F15*1.5*M15)</f>
        <v>27.320799999999995</v>
      </c>
      <c r="O15" s="143" t="str">
        <f>IF(J15&gt;1.5,((J15-1.5)*M15*F15),"0")</f>
        <v>0</v>
      </c>
      <c r="P15" s="63">
        <f>0.06*0.6*I15</f>
        <v>0.46799999999999997</v>
      </c>
      <c r="Q15" s="63">
        <f>(((PI()*(L15^2))/4)*G15)*F15</f>
        <v>5.292955302768083</v>
      </c>
      <c r="R15" s="63">
        <f>(N15+O15)-(P15+Q15)</f>
        <v>21.559844697231913</v>
      </c>
      <c r="S15" s="72">
        <f>IF(J15&lt;=1.5,0,(F15*2)*J15)</f>
        <v>0</v>
      </c>
      <c r="T15" s="197"/>
      <c r="U15" s="197"/>
      <c r="V15" s="197"/>
      <c r="W15" s="198"/>
    </row>
    <row r="16" spans="1:23" s="49" customFormat="1" ht="15">
      <c r="A16" s="73"/>
      <c r="B16" s="69"/>
      <c r="C16" s="152"/>
      <c r="D16" s="63"/>
      <c r="E16" s="63"/>
      <c r="F16" s="63"/>
      <c r="G16" s="63"/>
      <c r="H16" s="63"/>
      <c r="I16" s="63"/>
      <c r="J16" s="63"/>
      <c r="K16" s="63"/>
      <c r="L16" s="66"/>
      <c r="M16" s="63"/>
      <c r="N16" s="63"/>
      <c r="O16" s="143"/>
      <c r="P16" s="63"/>
      <c r="Q16" s="63"/>
      <c r="R16" s="63"/>
      <c r="S16" s="72"/>
      <c r="T16" s="197"/>
      <c r="U16" s="197"/>
      <c r="V16" s="197"/>
      <c r="W16" s="198"/>
    </row>
    <row r="17" spans="1:23" s="49" customFormat="1" ht="15">
      <c r="A17" s="73">
        <f>Drenagem!A15</f>
        <v>3</v>
      </c>
      <c r="B17" s="69" t="str">
        <f>Drenagem!B15</f>
        <v>CL4</v>
      </c>
      <c r="C17" s="152"/>
      <c r="D17" s="63">
        <v>1</v>
      </c>
      <c r="E17" s="63">
        <v>1</v>
      </c>
      <c r="F17" s="63">
        <f>Drenagem!E15</f>
        <v>40</v>
      </c>
      <c r="G17" s="63">
        <v>1</v>
      </c>
      <c r="H17" s="63">
        <f>Drenagem!M15</f>
        <v>0.4</v>
      </c>
      <c r="I17" s="63">
        <f>G17*F17</f>
        <v>40</v>
      </c>
      <c r="J17" s="63">
        <f>AVERAGE(D17:E17)</f>
        <v>1</v>
      </c>
      <c r="K17" s="63">
        <f>IF(H17=0.4,0.2,IF(H17=0.6,0.35,IF(H17=0.8,0.4,IF(H17=1,0.45,IF(H17=1.2,0.5,IF(H17=1.5,0.6))))))</f>
        <v>0.2</v>
      </c>
      <c r="L17" s="66">
        <f>IF(H17=0.4,0.49,IF(H17=0.6,0.72,IF(H17=0.8,0.95,IF(H17=1,1.16,IF(H17=1.2,1.4,IF(H17=1.5,1.7))))))</f>
        <v>0.49</v>
      </c>
      <c r="M17" s="63">
        <f>IF(G17=1,(L17*G17)+(K17*2),((L17*G17)+(K17*2)+0.3))</f>
        <v>0.89</v>
      </c>
      <c r="N17" s="63">
        <f>IF(J17&lt;=1.5,F17*J17*M17,F17*1.5*M17)</f>
        <v>35.6</v>
      </c>
      <c r="O17" s="143" t="str">
        <f>IF(J17&gt;1.5,((J17-1.5)*M17*F17),"0")</f>
        <v>0</v>
      </c>
      <c r="P17" s="63">
        <f>0.06*0.6*I17</f>
        <v>1.44</v>
      </c>
      <c r="Q17" s="63">
        <f>(((PI()*(L17^2))/4)*G17)*F17</f>
        <v>7.542963961269092</v>
      </c>
      <c r="R17" s="63">
        <f>(N17+O17)-(P17+Q17)</f>
        <v>26.61703603873091</v>
      </c>
      <c r="S17" s="72">
        <f>IF(J17&lt;=1.5,0,(F17*2)*J17)</f>
        <v>0</v>
      </c>
      <c r="T17" s="197"/>
      <c r="U17" s="197"/>
      <c r="V17" s="197"/>
      <c r="W17" s="198"/>
    </row>
    <row r="18" spans="1:23" s="49" customFormat="1" ht="15">
      <c r="A18" s="73" t="str">
        <f>Drenagem!A16</f>
        <v>CL4</v>
      </c>
      <c r="B18" s="69" t="str">
        <f>Drenagem!B16</f>
        <v>CL5</v>
      </c>
      <c r="C18" s="152"/>
      <c r="D18" s="63">
        <f>E17</f>
        <v>1</v>
      </c>
      <c r="E18" s="63">
        <v>1.17</v>
      </c>
      <c r="F18" s="63">
        <f>Drenagem!E16</f>
        <v>30</v>
      </c>
      <c r="G18" s="63">
        <v>1</v>
      </c>
      <c r="H18" s="63">
        <f>Drenagem!M16</f>
        <v>0.4</v>
      </c>
      <c r="I18" s="63">
        <f>G18*F18</f>
        <v>30</v>
      </c>
      <c r="J18" s="63">
        <f>AVERAGE(D18:E18)</f>
        <v>1.085</v>
      </c>
      <c r="K18" s="63">
        <f>IF(H18=0.4,0.2,IF(H18=0.6,0.35,IF(H18=0.8,0.4,IF(H18=1,0.45,IF(H18=1.2,0.5,IF(H18=1.5,0.6))))))</f>
        <v>0.2</v>
      </c>
      <c r="L18" s="66">
        <f>IF(H18=0.4,0.49,IF(H18=0.6,0.72,IF(H18=0.8,0.95,IF(H18=1,1.16,IF(H18=1.2,1.4,IF(H18=1.5,1.7))))))</f>
        <v>0.49</v>
      </c>
      <c r="M18" s="63">
        <f>IF(G18=1,(L18*G18)+(K18*2),((L18*G18)+(K18*2)+0.3))</f>
        <v>0.89</v>
      </c>
      <c r="N18" s="63">
        <f>IF(J18&lt;=1.5,F18*J18*M18,F18*1.5*M18)</f>
        <v>28.969499999999996</v>
      </c>
      <c r="O18" s="143" t="str">
        <f>IF(J18&gt;1.5,((J18-1.5)*M18*F18),"0")</f>
        <v>0</v>
      </c>
      <c r="P18" s="63">
        <f>0.06*0.6*I18</f>
        <v>1.0799999999999998</v>
      </c>
      <c r="Q18" s="63">
        <f>(((PI()*(L18^2))/4)*G18)*F18</f>
        <v>5.657222970951819</v>
      </c>
      <c r="R18" s="63">
        <f>(N18+O18)-(P18+Q18)</f>
        <v>22.232277029048177</v>
      </c>
      <c r="S18" s="72">
        <f>IF(J18&lt;=1.5,0,(F18*2)*J18)</f>
        <v>0</v>
      </c>
      <c r="T18" s="197"/>
      <c r="U18" s="197"/>
      <c r="V18" s="197"/>
      <c r="W18" s="198"/>
    </row>
    <row r="19" spans="1:23" s="49" customFormat="1" ht="15">
      <c r="A19" s="73" t="str">
        <f>Drenagem!A17</f>
        <v>CL5</v>
      </c>
      <c r="B19" s="69">
        <f>Drenagem!B17</f>
        <v>4</v>
      </c>
      <c r="C19" s="152"/>
      <c r="D19" s="63">
        <f>E18</f>
        <v>1.17</v>
      </c>
      <c r="E19" s="63">
        <v>1.5</v>
      </c>
      <c r="F19" s="63">
        <f>Drenagem!E17</f>
        <v>40</v>
      </c>
      <c r="G19" s="63">
        <v>1</v>
      </c>
      <c r="H19" s="63">
        <f>Drenagem!M17</f>
        <v>0.4</v>
      </c>
      <c r="I19" s="63">
        <f>G19*F19</f>
        <v>40</v>
      </c>
      <c r="J19" s="63">
        <f>AVERAGE(D19:E19)</f>
        <v>1.335</v>
      </c>
      <c r="K19" s="63">
        <f>IF(H19=0.4,0.2,IF(H19=0.6,0.35,IF(H19=0.8,0.4,IF(H19=1,0.45,IF(H19=1.2,0.5,IF(H19=1.5,0.6))))))</f>
        <v>0.2</v>
      </c>
      <c r="L19" s="66">
        <f>IF(H19=0.4,0.49,IF(H19=0.6,0.72,IF(H19=0.8,0.95,IF(H19=1,1.16,IF(H19=1.2,1.4,IF(H19=1.5,1.7))))))</f>
        <v>0.49</v>
      </c>
      <c r="M19" s="63">
        <f>IF(G19=1,(L19*G19)+(K19*2),((L19*G19)+(K19*2)+0.3))</f>
        <v>0.89</v>
      </c>
      <c r="N19" s="63">
        <f>IF(J19&lt;=1.5,F19*J19*M19,F19*1.5*M19)</f>
        <v>47.525999999999996</v>
      </c>
      <c r="O19" s="143" t="str">
        <f>IF(J19&gt;1.5,((J19-1.5)*M19*F19),"0")</f>
        <v>0</v>
      </c>
      <c r="P19" s="63">
        <f>0.06*0.6*I19</f>
        <v>1.44</v>
      </c>
      <c r="Q19" s="63">
        <f>(((PI()*(L19^2))/4)*G19)*F19</f>
        <v>7.542963961269092</v>
      </c>
      <c r="R19" s="63">
        <f>(N19+O19)-(P19+Q19)</f>
        <v>38.543036038730904</v>
      </c>
      <c r="S19" s="72">
        <f>IF(J19&lt;=1.5,0,(F19*2)*J19)</f>
        <v>0</v>
      </c>
      <c r="T19" s="197"/>
      <c r="U19" s="197"/>
      <c r="V19" s="197"/>
      <c r="W19" s="198"/>
    </row>
    <row r="20" spans="1:23" s="49" customFormat="1" ht="15">
      <c r="A20" s="73">
        <f>Drenagem!A18</f>
        <v>4</v>
      </c>
      <c r="B20" s="69" t="str">
        <f>Drenagem!B18</f>
        <v>CL6</v>
      </c>
      <c r="C20" s="152"/>
      <c r="D20" s="63">
        <f>E19</f>
        <v>1.5</v>
      </c>
      <c r="E20" s="63">
        <v>3.24</v>
      </c>
      <c r="F20" s="63">
        <f>Drenagem!E18</f>
        <v>30</v>
      </c>
      <c r="G20" s="63">
        <v>1</v>
      </c>
      <c r="H20" s="63">
        <f>Drenagem!M18</f>
        <v>0.4</v>
      </c>
      <c r="I20" s="63">
        <f>G20*F20</f>
        <v>30</v>
      </c>
      <c r="J20" s="63">
        <f>AVERAGE(D20:E20)</f>
        <v>2.37</v>
      </c>
      <c r="K20" s="63">
        <f>IF(H20=0.4,0.2,IF(H20=0.6,0.35,IF(H20=0.8,0.4,IF(H20=1,0.45,IF(H20=1.2,0.5,IF(H20=1.5,0.6))))))</f>
        <v>0.2</v>
      </c>
      <c r="L20" s="66">
        <f>IF(H20=0.4,0.49,IF(H20=0.6,0.72,IF(H20=0.8,0.95,IF(H20=1,1.16,IF(H20=1.2,1.4,IF(H20=1.5,1.7))))))</f>
        <v>0.49</v>
      </c>
      <c r="M20" s="63">
        <f>IF(G20=1,(L20*G20)+(K20*2),((L20*G20)+(K20*2)+0.3))</f>
        <v>0.89</v>
      </c>
      <c r="N20" s="63">
        <f>IF(J20&lt;=1.5,F20*J20*M20,F20*1.5*M20)</f>
        <v>40.05</v>
      </c>
      <c r="O20" s="143">
        <f>IF(J20&gt;1.5,((J20-1.5)*M20*F20),"0")</f>
        <v>23.229000000000003</v>
      </c>
      <c r="P20" s="63">
        <f>0.06*0.6*I20</f>
        <v>1.0799999999999998</v>
      </c>
      <c r="Q20" s="63">
        <f>(((PI()*(L20^2))/4)*G20)*F20</f>
        <v>5.657222970951819</v>
      </c>
      <c r="R20" s="63">
        <f>(N20+O20)-(P20+Q20)</f>
        <v>56.54177702904818</v>
      </c>
      <c r="S20" s="72">
        <f>IF(J20&lt;=1.5,0,(F20*2)*J20)</f>
        <v>142.20000000000002</v>
      </c>
      <c r="T20" s="197"/>
      <c r="U20" s="197"/>
      <c r="V20" s="197"/>
      <c r="W20" s="198"/>
    </row>
    <row r="21" spans="1:23" s="49" customFormat="1" ht="15">
      <c r="A21" s="73" t="str">
        <f>Drenagem!A19</f>
        <v>CL6</v>
      </c>
      <c r="B21" s="69" t="str">
        <f>Drenagem!B19</f>
        <v>PVE</v>
      </c>
      <c r="C21" s="152"/>
      <c r="D21" s="63">
        <v>3.44</v>
      </c>
      <c r="E21" s="63">
        <v>1.91</v>
      </c>
      <c r="F21" s="63">
        <f>Drenagem!E19</f>
        <v>25</v>
      </c>
      <c r="G21" s="63">
        <v>1</v>
      </c>
      <c r="H21" s="63">
        <f>Drenagem!M19</f>
        <v>0.6</v>
      </c>
      <c r="I21" s="63">
        <f>G21*F21</f>
        <v>25</v>
      </c>
      <c r="J21" s="63">
        <f>AVERAGE(D21:E21)</f>
        <v>2.675</v>
      </c>
      <c r="K21" s="63">
        <f>IF(H21=0.4,0.2,IF(H21=0.6,0.35,IF(H21=0.8,0.4,IF(H21=1,0.45,IF(H21=1.2,0.5,IF(H21=1.5,0.6))))))</f>
        <v>0.35</v>
      </c>
      <c r="L21" s="66">
        <f>IF(H21=0.4,0.49,IF(H21=0.6,0.72,IF(H21=0.8,0.95,IF(H21=1,1.16,IF(H21=1.2,1.4,IF(H21=1.5,1.7))))))</f>
        <v>0.72</v>
      </c>
      <c r="M21" s="63">
        <f>IF(G21=1,(L21*G21)+(K21*2),((L21*G21)+(K21*2)+0.3))</f>
        <v>1.42</v>
      </c>
      <c r="N21" s="63">
        <f>IF(J21&lt;=1.5,F21*J21*M21,F21*1.5*M21)</f>
        <v>53.25</v>
      </c>
      <c r="O21" s="143">
        <f>IF(J21&gt;1.5,((J21-1.5)*M21*F21),"0")</f>
        <v>41.71249999999999</v>
      </c>
      <c r="P21" s="63">
        <f>0.06*0.6*I21</f>
        <v>0.8999999999999999</v>
      </c>
      <c r="Q21" s="63">
        <f>(((PI()*(L21^2))/4)*G21)*F21</f>
        <v>10.178760197630929</v>
      </c>
      <c r="R21" s="63">
        <f>(N21+O21)-(P21+Q21)</f>
        <v>83.88373980236906</v>
      </c>
      <c r="S21" s="72">
        <f>IF(J21&lt;=1.5,0,(F21*2)*J21)</f>
        <v>133.75</v>
      </c>
      <c r="T21" s="197"/>
      <c r="U21" s="197"/>
      <c r="V21" s="197"/>
      <c r="W21" s="198"/>
    </row>
    <row r="22" spans="1:23" s="49" customFormat="1" ht="15">
      <c r="A22" s="73"/>
      <c r="B22" s="69"/>
      <c r="C22" s="152"/>
      <c r="D22" s="63"/>
      <c r="E22" s="63"/>
      <c r="F22" s="63"/>
      <c r="G22" s="63"/>
      <c r="H22" s="63"/>
      <c r="I22" s="63"/>
      <c r="J22" s="63"/>
      <c r="K22" s="63"/>
      <c r="L22" s="66"/>
      <c r="M22" s="63"/>
      <c r="N22" s="63"/>
      <c r="O22" s="143"/>
      <c r="P22" s="63"/>
      <c r="Q22" s="63"/>
      <c r="R22" s="63"/>
      <c r="S22" s="72"/>
      <c r="T22" s="197"/>
      <c r="U22" s="197"/>
      <c r="V22" s="197"/>
      <c r="W22" s="198"/>
    </row>
    <row r="23" spans="1:23" s="49" customFormat="1" ht="15.75" thickBot="1">
      <c r="A23" s="394"/>
      <c r="B23" s="395"/>
      <c r="C23" s="396"/>
      <c r="D23" s="397"/>
      <c r="E23" s="397"/>
      <c r="F23" s="397"/>
      <c r="G23" s="397"/>
      <c r="H23" s="397"/>
      <c r="I23" s="397"/>
      <c r="J23" s="397"/>
      <c r="K23" s="397"/>
      <c r="L23" s="398"/>
      <c r="M23" s="397"/>
      <c r="N23" s="397"/>
      <c r="O23" s="399"/>
      <c r="P23" s="397"/>
      <c r="Q23" s="397"/>
      <c r="R23" s="397"/>
      <c r="S23" s="400"/>
      <c r="T23" s="197"/>
      <c r="U23" s="197"/>
      <c r="V23" s="197"/>
      <c r="W23" s="198"/>
    </row>
    <row r="24" spans="1:23" s="50" customFormat="1" ht="19.5" thickBot="1">
      <c r="A24" s="810" t="s">
        <v>5</v>
      </c>
      <c r="B24" s="811"/>
      <c r="C24" s="811"/>
      <c r="D24" s="811"/>
      <c r="E24" s="811"/>
      <c r="F24" s="811"/>
      <c r="G24" s="811"/>
      <c r="H24" s="811"/>
      <c r="I24" s="811"/>
      <c r="J24" s="811"/>
      <c r="K24" s="811"/>
      <c r="L24" s="811"/>
      <c r="M24" s="812"/>
      <c r="N24" s="393">
        <f>ROUNDUP(SUM(N11:N23)+N8,0)</f>
        <v>468</v>
      </c>
      <c r="O24" s="393">
        <f>ROUNDUP(SUM(O11:O23)+O8,0)</f>
        <v>65</v>
      </c>
      <c r="P24" s="393">
        <f>ROUNDUP(SUM(P11:P23),0)</f>
        <v>11</v>
      </c>
      <c r="Q24" s="393">
        <f>ROUNDUP(SUM(Q11:Q23)+Q8,0)</f>
        <v>77</v>
      </c>
      <c r="R24" s="393">
        <f>ROUNDUP(SUM(R11:R23)+R8,0)</f>
        <v>446</v>
      </c>
      <c r="S24" s="393">
        <f>ROUNDUP(SUM(S11:S23),0)</f>
        <v>276</v>
      </c>
      <c r="T24" s="199"/>
      <c r="U24" s="200"/>
      <c r="V24" s="200"/>
      <c r="W24" s="201"/>
    </row>
    <row r="25" spans="1:23" s="50" customFormat="1" ht="19.5" thickBot="1">
      <c r="A25" s="808" t="s">
        <v>101</v>
      </c>
      <c r="B25" s="809"/>
      <c r="C25" s="809"/>
      <c r="D25" s="809"/>
      <c r="E25" s="809"/>
      <c r="F25" s="809"/>
      <c r="G25" s="68" t="s">
        <v>33</v>
      </c>
      <c r="H25" s="822"/>
      <c r="I25" s="175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</row>
    <row r="26" spans="1:23" ht="19.5" thickBot="1">
      <c r="A26" s="792" t="s">
        <v>102</v>
      </c>
      <c r="B26" s="793"/>
      <c r="C26" s="793"/>
      <c r="D26" s="793"/>
      <c r="E26" s="793"/>
      <c r="F26" s="53">
        <f>F8</f>
        <v>104</v>
      </c>
      <c r="G26" s="54" t="s">
        <v>51</v>
      </c>
      <c r="H26" s="823"/>
      <c r="I26" s="834" t="s">
        <v>289</v>
      </c>
      <c r="J26" s="835"/>
      <c r="K26" s="835"/>
      <c r="L26" s="835"/>
      <c r="M26" s="254">
        <f>(SUMIF(H$11:H$23,0.4,J$11:J$23))</f>
        <v>11.790000000000003</v>
      </c>
      <c r="N26" s="832">
        <v>1.58</v>
      </c>
      <c r="O26" s="178"/>
      <c r="P26" s="178"/>
      <c r="Q26" s="178"/>
      <c r="R26" s="178"/>
      <c r="S26" s="178"/>
      <c r="T26" s="178"/>
      <c r="U26" s="178"/>
      <c r="V26" s="178"/>
      <c r="W26" s="179"/>
    </row>
    <row r="27" spans="1:23" ht="19.5" thickBot="1">
      <c r="A27" s="786" t="s">
        <v>103</v>
      </c>
      <c r="B27" s="787"/>
      <c r="C27" s="787"/>
      <c r="D27" s="787"/>
      <c r="E27" s="787"/>
      <c r="F27" s="55">
        <f>SUMIF($H$11:$H$23,0.4,$I$11:$I$23)</f>
        <v>260</v>
      </c>
      <c r="G27" s="56" t="s">
        <v>51</v>
      </c>
      <c r="H27" s="823"/>
      <c r="I27" s="836"/>
      <c r="J27" s="837"/>
      <c r="K27" s="837"/>
      <c r="L27" s="837"/>
      <c r="M27" s="255">
        <f>SUMIF(H$11:H$23,0.6,J$11:J$23)</f>
        <v>4.154999999999999</v>
      </c>
      <c r="N27" s="833"/>
      <c r="O27" s="820" t="s">
        <v>235</v>
      </c>
      <c r="P27" s="776"/>
      <c r="Q27" s="777"/>
      <c r="R27" s="174">
        <v>0</v>
      </c>
      <c r="S27" s="775" t="s">
        <v>236</v>
      </c>
      <c r="T27" s="776"/>
      <c r="U27" s="776"/>
      <c r="V27" s="777"/>
      <c r="W27" s="174">
        <f>N26+0.2</f>
        <v>1.78</v>
      </c>
    </row>
    <row r="28" spans="1:25" ht="18.75">
      <c r="A28" s="786" t="s">
        <v>216</v>
      </c>
      <c r="B28" s="787"/>
      <c r="C28" s="787"/>
      <c r="D28" s="787"/>
      <c r="E28" s="787"/>
      <c r="F28" s="55">
        <f>SUMIF($H$11:$H$23,0.6,$I$11:$I$23)</f>
        <v>38</v>
      </c>
      <c r="G28" s="56" t="s">
        <v>51</v>
      </c>
      <c r="H28" s="823"/>
      <c r="I28" s="820" t="s">
        <v>249</v>
      </c>
      <c r="J28" s="776"/>
      <c r="K28" s="776"/>
      <c r="L28" s="776"/>
      <c r="M28" s="173">
        <f>SUMIF(H$11:H$23,0.8,J$11:J$23)</f>
        <v>0</v>
      </c>
      <c r="N28" s="174"/>
      <c r="O28" s="778" t="s">
        <v>235</v>
      </c>
      <c r="P28" s="779"/>
      <c r="Q28" s="780"/>
      <c r="R28" s="170">
        <f>IF(N28&lt;=1.5,0,N28-1.5)</f>
        <v>0</v>
      </c>
      <c r="S28" s="778" t="s">
        <v>236</v>
      </c>
      <c r="T28" s="779"/>
      <c r="U28" s="779"/>
      <c r="V28" s="780"/>
      <c r="W28" s="174"/>
      <c r="Y28" s="22">
        <f>2*PI()*0.2</f>
        <v>1.2566370614359172</v>
      </c>
    </row>
    <row r="29" spans="1:23" ht="18.75">
      <c r="A29" s="786" t="s">
        <v>245</v>
      </c>
      <c r="B29" s="787"/>
      <c r="C29" s="787"/>
      <c r="D29" s="787"/>
      <c r="E29" s="787"/>
      <c r="F29" s="55">
        <f>SUMIF($H$11:$H$23,0.8,$I$11:$I$23)</f>
        <v>0</v>
      </c>
      <c r="G29" s="56" t="s">
        <v>51</v>
      </c>
      <c r="H29" s="823"/>
      <c r="I29" s="818" t="s">
        <v>250</v>
      </c>
      <c r="J29" s="779"/>
      <c r="K29" s="779"/>
      <c r="L29" s="779"/>
      <c r="M29" s="168">
        <f>SUMIF(H$11:H$23,1,J$11:J$23)</f>
        <v>0</v>
      </c>
      <c r="N29" s="170"/>
      <c r="O29" s="778" t="s">
        <v>235</v>
      </c>
      <c r="P29" s="779"/>
      <c r="Q29" s="780"/>
      <c r="R29" s="170">
        <f>IF(N29&lt;=1.5,0,N29-1.5)</f>
        <v>0</v>
      </c>
      <c r="S29" s="778" t="s">
        <v>236</v>
      </c>
      <c r="T29" s="779"/>
      <c r="U29" s="779"/>
      <c r="V29" s="780"/>
      <c r="W29" s="174"/>
    </row>
    <row r="30" spans="1:25" ht="18.75">
      <c r="A30" s="786" t="s">
        <v>246</v>
      </c>
      <c r="B30" s="787"/>
      <c r="C30" s="787"/>
      <c r="D30" s="787"/>
      <c r="E30" s="787"/>
      <c r="F30" s="55">
        <f>SUMIF($H$11:$H$23,1,$I$11:$I$23)</f>
        <v>0</v>
      </c>
      <c r="G30" s="56" t="s">
        <v>51</v>
      </c>
      <c r="H30" s="823"/>
      <c r="I30" s="818" t="s">
        <v>251</v>
      </c>
      <c r="J30" s="779"/>
      <c r="K30" s="779"/>
      <c r="L30" s="779"/>
      <c r="M30" s="168">
        <f>SUMIF(H$11:H$23,1.2,J$11:J$23)</f>
        <v>0</v>
      </c>
      <c r="N30" s="170"/>
      <c r="O30" s="778" t="s">
        <v>235</v>
      </c>
      <c r="P30" s="779"/>
      <c r="Q30" s="780"/>
      <c r="R30" s="170">
        <f>IF(N30&lt;=1.5,0,N30-1.5)</f>
        <v>0</v>
      </c>
      <c r="S30" s="778" t="s">
        <v>236</v>
      </c>
      <c r="T30" s="779"/>
      <c r="U30" s="779"/>
      <c r="V30" s="780"/>
      <c r="W30" s="174"/>
      <c r="X30" s="129"/>
      <c r="Y30" s="141"/>
    </row>
    <row r="31" spans="1:25" ht="19.5" thickBot="1">
      <c r="A31" s="786" t="s">
        <v>247</v>
      </c>
      <c r="B31" s="787"/>
      <c r="C31" s="787"/>
      <c r="D31" s="787"/>
      <c r="E31" s="787"/>
      <c r="F31" s="55">
        <f>SUMIF($H$11:$H$23,1.2,$I$11:$I$23)</f>
        <v>0</v>
      </c>
      <c r="G31" s="56" t="s">
        <v>51</v>
      </c>
      <c r="H31" s="823"/>
      <c r="I31" s="819" t="s">
        <v>252</v>
      </c>
      <c r="J31" s="816"/>
      <c r="K31" s="816"/>
      <c r="L31" s="816"/>
      <c r="M31" s="169"/>
      <c r="N31" s="171"/>
      <c r="O31" s="815" t="s">
        <v>235</v>
      </c>
      <c r="P31" s="816"/>
      <c r="Q31" s="817"/>
      <c r="R31" s="171">
        <f>IF(N31&lt;=1.5,0,N31-1.5)</f>
        <v>0</v>
      </c>
      <c r="S31" s="815" t="s">
        <v>236</v>
      </c>
      <c r="T31" s="816"/>
      <c r="U31" s="816"/>
      <c r="V31" s="817"/>
      <c r="W31" s="174"/>
      <c r="X31" s="129"/>
      <c r="Y31" s="141"/>
    </row>
    <row r="32" spans="1:25" ht="19.5" thickBot="1">
      <c r="A32" s="829" t="s">
        <v>248</v>
      </c>
      <c r="B32" s="830"/>
      <c r="C32" s="830"/>
      <c r="D32" s="830"/>
      <c r="E32" s="830"/>
      <c r="F32" s="153">
        <f>SUMIF($H$11:$H$23,1.5,$I$11:$I$23)</f>
        <v>0</v>
      </c>
      <c r="G32" s="140" t="s">
        <v>51</v>
      </c>
      <c r="H32" s="823"/>
      <c r="I32" s="839"/>
      <c r="J32" s="840"/>
      <c r="K32" s="840"/>
      <c r="L32" s="840"/>
      <c r="M32" s="840"/>
      <c r="N32" s="840"/>
      <c r="O32" s="840"/>
      <c r="P32" s="840"/>
      <c r="Q32" s="840"/>
      <c r="R32" s="840"/>
      <c r="S32" s="840"/>
      <c r="T32" s="840"/>
      <c r="U32" s="840"/>
      <c r="V32" s="840"/>
      <c r="W32" s="841"/>
      <c r="X32" s="129"/>
      <c r="Y32" s="141"/>
    </row>
    <row r="33" spans="1:23" ht="18.75">
      <c r="A33" s="813" t="s">
        <v>283</v>
      </c>
      <c r="B33" s="814"/>
      <c r="C33" s="814"/>
      <c r="D33" s="814"/>
      <c r="E33" s="814"/>
      <c r="F33" s="172">
        <v>6</v>
      </c>
      <c r="G33" s="157" t="s">
        <v>4</v>
      </c>
      <c r="H33" s="823"/>
      <c r="I33" s="827" t="s">
        <v>285</v>
      </c>
      <c r="J33" s="828"/>
      <c r="K33" s="828"/>
      <c r="L33" s="828"/>
      <c r="M33" s="828"/>
      <c r="N33" s="249"/>
      <c r="O33" s="250" t="s">
        <v>4</v>
      </c>
      <c r="P33" s="842"/>
      <c r="Q33" s="813" t="s">
        <v>287</v>
      </c>
      <c r="R33" s="814"/>
      <c r="S33" s="814"/>
      <c r="T33" s="814"/>
      <c r="U33" s="814"/>
      <c r="V33" s="253"/>
      <c r="W33" s="157" t="s">
        <v>4</v>
      </c>
    </row>
    <row r="34" spans="1:23" ht="18.75">
      <c r="A34" s="800" t="s">
        <v>284</v>
      </c>
      <c r="B34" s="801"/>
      <c r="C34" s="801"/>
      <c r="D34" s="801"/>
      <c r="E34" s="801"/>
      <c r="F34" s="145">
        <v>6</v>
      </c>
      <c r="G34" s="158" t="s">
        <v>4</v>
      </c>
      <c r="H34" s="823"/>
      <c r="I34" s="831" t="s">
        <v>286</v>
      </c>
      <c r="J34" s="801"/>
      <c r="K34" s="801"/>
      <c r="L34" s="801"/>
      <c r="M34" s="801"/>
      <c r="N34" s="251"/>
      <c r="O34" s="252" t="s">
        <v>4</v>
      </c>
      <c r="P34" s="843"/>
      <c r="Q34" s="800" t="s">
        <v>288</v>
      </c>
      <c r="R34" s="801"/>
      <c r="S34" s="801"/>
      <c r="T34" s="801"/>
      <c r="U34" s="801"/>
      <c r="V34" s="251"/>
      <c r="W34" s="158" t="s">
        <v>4</v>
      </c>
    </row>
    <row r="35" spans="1:23" ht="18.75">
      <c r="A35" s="794" t="s">
        <v>237</v>
      </c>
      <c r="B35" s="795"/>
      <c r="C35" s="795"/>
      <c r="D35" s="795"/>
      <c r="E35" s="795"/>
      <c r="F35" s="147"/>
      <c r="G35" s="160" t="s">
        <v>4</v>
      </c>
      <c r="H35" s="823"/>
      <c r="I35" s="821" t="s">
        <v>265</v>
      </c>
      <c r="J35" s="795"/>
      <c r="K35" s="795"/>
      <c r="L35" s="795"/>
      <c r="M35" s="795"/>
      <c r="N35" s="147"/>
      <c r="O35" s="160" t="s">
        <v>4</v>
      </c>
      <c r="P35" s="843"/>
      <c r="Q35" s="794" t="s">
        <v>273</v>
      </c>
      <c r="R35" s="795"/>
      <c r="S35" s="795"/>
      <c r="T35" s="795"/>
      <c r="U35" s="795"/>
      <c r="V35" s="147"/>
      <c r="W35" s="160" t="s">
        <v>4</v>
      </c>
    </row>
    <row r="36" spans="1:23" ht="18.75">
      <c r="A36" s="794" t="s">
        <v>238</v>
      </c>
      <c r="B36" s="795"/>
      <c r="C36" s="795"/>
      <c r="D36" s="795"/>
      <c r="E36" s="795"/>
      <c r="F36" s="147"/>
      <c r="G36" s="160" t="s">
        <v>4</v>
      </c>
      <c r="H36" s="823"/>
      <c r="I36" s="821" t="s">
        <v>266</v>
      </c>
      <c r="J36" s="795"/>
      <c r="K36" s="795"/>
      <c r="L36" s="795"/>
      <c r="M36" s="795"/>
      <c r="N36" s="147"/>
      <c r="O36" s="160" t="s">
        <v>4</v>
      </c>
      <c r="P36" s="843"/>
      <c r="Q36" s="794" t="s">
        <v>274</v>
      </c>
      <c r="R36" s="795"/>
      <c r="S36" s="795"/>
      <c r="T36" s="795"/>
      <c r="U36" s="795"/>
      <c r="V36" s="147"/>
      <c r="W36" s="160" t="s">
        <v>4</v>
      </c>
    </row>
    <row r="37" spans="1:23" ht="18.75">
      <c r="A37" s="771" t="s">
        <v>239</v>
      </c>
      <c r="B37" s="772"/>
      <c r="C37" s="772"/>
      <c r="D37" s="772"/>
      <c r="E37" s="772"/>
      <c r="F37" s="148"/>
      <c r="G37" s="161" t="s">
        <v>4</v>
      </c>
      <c r="H37" s="823"/>
      <c r="I37" s="846" t="s">
        <v>267</v>
      </c>
      <c r="J37" s="772"/>
      <c r="K37" s="772"/>
      <c r="L37" s="772"/>
      <c r="M37" s="772"/>
      <c r="N37" s="148"/>
      <c r="O37" s="161" t="s">
        <v>4</v>
      </c>
      <c r="P37" s="843"/>
      <c r="Q37" s="771" t="s">
        <v>275</v>
      </c>
      <c r="R37" s="772"/>
      <c r="S37" s="772"/>
      <c r="T37" s="772"/>
      <c r="U37" s="772"/>
      <c r="V37" s="148"/>
      <c r="W37" s="161" t="s">
        <v>4</v>
      </c>
    </row>
    <row r="38" spans="1:23" ht="18.75">
      <c r="A38" s="771" t="s">
        <v>240</v>
      </c>
      <c r="B38" s="772"/>
      <c r="C38" s="772"/>
      <c r="D38" s="772"/>
      <c r="E38" s="772"/>
      <c r="F38" s="148"/>
      <c r="G38" s="161" t="s">
        <v>4</v>
      </c>
      <c r="H38" s="823"/>
      <c r="I38" s="846" t="s">
        <v>268</v>
      </c>
      <c r="J38" s="772"/>
      <c r="K38" s="772"/>
      <c r="L38" s="772"/>
      <c r="M38" s="772"/>
      <c r="N38" s="148"/>
      <c r="O38" s="161" t="s">
        <v>4</v>
      </c>
      <c r="P38" s="843"/>
      <c r="Q38" s="771" t="s">
        <v>276</v>
      </c>
      <c r="R38" s="772"/>
      <c r="S38" s="772"/>
      <c r="T38" s="772"/>
      <c r="U38" s="772"/>
      <c r="V38" s="148"/>
      <c r="W38" s="161" t="s">
        <v>4</v>
      </c>
    </row>
    <row r="39" spans="1:23" ht="18.75">
      <c r="A39" s="796" t="s">
        <v>241</v>
      </c>
      <c r="B39" s="797"/>
      <c r="C39" s="797"/>
      <c r="D39" s="797"/>
      <c r="E39" s="797"/>
      <c r="F39" s="149"/>
      <c r="G39" s="162" t="s">
        <v>4</v>
      </c>
      <c r="H39" s="823"/>
      <c r="I39" s="845" t="s">
        <v>269</v>
      </c>
      <c r="J39" s="797"/>
      <c r="K39" s="797"/>
      <c r="L39" s="797"/>
      <c r="M39" s="797"/>
      <c r="N39" s="149"/>
      <c r="O39" s="162" t="s">
        <v>4</v>
      </c>
      <c r="P39" s="843"/>
      <c r="Q39" s="796" t="s">
        <v>277</v>
      </c>
      <c r="R39" s="797"/>
      <c r="S39" s="797"/>
      <c r="T39" s="797"/>
      <c r="U39" s="797"/>
      <c r="V39" s="149"/>
      <c r="W39" s="162" t="s">
        <v>4</v>
      </c>
    </row>
    <row r="40" spans="1:23" ht="18.75">
      <c r="A40" s="796" t="s">
        <v>242</v>
      </c>
      <c r="B40" s="797"/>
      <c r="C40" s="797"/>
      <c r="D40" s="797"/>
      <c r="E40" s="797"/>
      <c r="F40" s="149"/>
      <c r="G40" s="162" t="s">
        <v>4</v>
      </c>
      <c r="H40" s="823"/>
      <c r="I40" s="845" t="s">
        <v>270</v>
      </c>
      <c r="J40" s="797"/>
      <c r="K40" s="797"/>
      <c r="L40" s="797"/>
      <c r="M40" s="797"/>
      <c r="N40" s="149"/>
      <c r="O40" s="162" t="s">
        <v>4</v>
      </c>
      <c r="P40" s="843"/>
      <c r="Q40" s="796" t="s">
        <v>278</v>
      </c>
      <c r="R40" s="797"/>
      <c r="S40" s="797"/>
      <c r="T40" s="797"/>
      <c r="U40" s="797"/>
      <c r="V40" s="149"/>
      <c r="W40" s="162" t="s">
        <v>4</v>
      </c>
    </row>
    <row r="41" spans="1:23" ht="18.75">
      <c r="A41" s="798" t="s">
        <v>243</v>
      </c>
      <c r="B41" s="799"/>
      <c r="C41" s="799"/>
      <c r="D41" s="799"/>
      <c r="E41" s="799"/>
      <c r="F41" s="150"/>
      <c r="G41" s="163" t="s">
        <v>4</v>
      </c>
      <c r="H41" s="823"/>
      <c r="I41" s="848" t="s">
        <v>271</v>
      </c>
      <c r="J41" s="799"/>
      <c r="K41" s="799"/>
      <c r="L41" s="799"/>
      <c r="M41" s="799"/>
      <c r="N41" s="150"/>
      <c r="O41" s="163" t="s">
        <v>4</v>
      </c>
      <c r="P41" s="843"/>
      <c r="Q41" s="798"/>
      <c r="R41" s="799"/>
      <c r="S41" s="799"/>
      <c r="T41" s="799"/>
      <c r="U41" s="799"/>
      <c r="V41" s="150"/>
      <c r="W41" s="163"/>
    </row>
    <row r="42" spans="1:23" ht="18.75">
      <c r="A42" s="798" t="s">
        <v>244</v>
      </c>
      <c r="B42" s="799"/>
      <c r="C42" s="799"/>
      <c r="D42" s="799"/>
      <c r="E42" s="799"/>
      <c r="F42" s="150"/>
      <c r="G42" s="163" t="s">
        <v>4</v>
      </c>
      <c r="H42" s="823"/>
      <c r="I42" s="848" t="s">
        <v>272</v>
      </c>
      <c r="J42" s="799"/>
      <c r="K42" s="799"/>
      <c r="L42" s="799"/>
      <c r="M42" s="799"/>
      <c r="N42" s="150"/>
      <c r="O42" s="163" t="s">
        <v>4</v>
      </c>
      <c r="P42" s="843"/>
      <c r="Q42" s="798"/>
      <c r="R42" s="799"/>
      <c r="S42" s="799"/>
      <c r="T42" s="799"/>
      <c r="U42" s="799"/>
      <c r="V42" s="150"/>
      <c r="W42" s="163"/>
    </row>
    <row r="43" spans="1:23" ht="18.75">
      <c r="A43" s="786" t="s">
        <v>104</v>
      </c>
      <c r="B43" s="787"/>
      <c r="C43" s="787"/>
      <c r="D43" s="787"/>
      <c r="E43" s="787"/>
      <c r="F43" s="123">
        <v>25</v>
      </c>
      <c r="G43" s="56" t="s">
        <v>4</v>
      </c>
      <c r="H43" s="823"/>
      <c r="I43" s="849" t="s">
        <v>254</v>
      </c>
      <c r="J43" s="787"/>
      <c r="K43" s="787"/>
      <c r="L43" s="787"/>
      <c r="M43" s="787"/>
      <c r="N43" s="123"/>
      <c r="O43" s="56" t="s">
        <v>4</v>
      </c>
      <c r="P43" s="843"/>
      <c r="Q43" s="786"/>
      <c r="R43" s="787"/>
      <c r="S43" s="787"/>
      <c r="T43" s="787"/>
      <c r="U43" s="787"/>
      <c r="V43" s="123"/>
      <c r="W43" s="56" t="s">
        <v>4</v>
      </c>
    </row>
    <row r="44" spans="1:23" ht="18.75">
      <c r="A44" s="800" t="s">
        <v>255</v>
      </c>
      <c r="B44" s="801"/>
      <c r="C44" s="801"/>
      <c r="D44" s="801"/>
      <c r="E44" s="801"/>
      <c r="F44" s="145"/>
      <c r="G44" s="158" t="s">
        <v>4</v>
      </c>
      <c r="H44" s="823"/>
      <c r="I44" s="831" t="s">
        <v>256</v>
      </c>
      <c r="J44" s="801"/>
      <c r="K44" s="801"/>
      <c r="L44" s="801"/>
      <c r="M44" s="801"/>
      <c r="N44" s="145"/>
      <c r="O44" s="158" t="s">
        <v>4</v>
      </c>
      <c r="P44" s="843"/>
      <c r="Q44" s="800" t="s">
        <v>290</v>
      </c>
      <c r="R44" s="801"/>
      <c r="S44" s="801"/>
      <c r="T44" s="801"/>
      <c r="U44" s="801"/>
      <c r="V44" s="145"/>
      <c r="W44" s="158" t="s">
        <v>4</v>
      </c>
    </row>
    <row r="45" spans="1:23" ht="18.75">
      <c r="A45" s="802" t="s">
        <v>257</v>
      </c>
      <c r="B45" s="803"/>
      <c r="C45" s="803"/>
      <c r="D45" s="803"/>
      <c r="E45" s="803"/>
      <c r="F45" s="146"/>
      <c r="G45" s="159" t="s">
        <v>4</v>
      </c>
      <c r="H45" s="823"/>
      <c r="I45" s="838" t="s">
        <v>258</v>
      </c>
      <c r="J45" s="803"/>
      <c r="K45" s="803"/>
      <c r="L45" s="803"/>
      <c r="M45" s="803"/>
      <c r="N45" s="146"/>
      <c r="O45" s="159" t="s">
        <v>4</v>
      </c>
      <c r="P45" s="843"/>
      <c r="Q45" s="802" t="s">
        <v>279</v>
      </c>
      <c r="R45" s="803"/>
      <c r="S45" s="803"/>
      <c r="T45" s="803"/>
      <c r="U45" s="803"/>
      <c r="V45" s="146"/>
      <c r="W45" s="159" t="s">
        <v>4</v>
      </c>
    </row>
    <row r="46" spans="1:23" ht="18.75">
      <c r="A46" s="794" t="s">
        <v>259</v>
      </c>
      <c r="B46" s="795"/>
      <c r="C46" s="795"/>
      <c r="D46" s="795"/>
      <c r="E46" s="795"/>
      <c r="F46" s="147"/>
      <c r="G46" s="160" t="s">
        <v>4</v>
      </c>
      <c r="H46" s="823"/>
      <c r="I46" s="821" t="s">
        <v>260</v>
      </c>
      <c r="J46" s="795"/>
      <c r="K46" s="795"/>
      <c r="L46" s="795"/>
      <c r="M46" s="795"/>
      <c r="N46" s="147"/>
      <c r="O46" s="160" t="s">
        <v>4</v>
      </c>
      <c r="P46" s="843"/>
      <c r="Q46" s="794" t="s">
        <v>280</v>
      </c>
      <c r="R46" s="795"/>
      <c r="S46" s="795"/>
      <c r="T46" s="795"/>
      <c r="U46" s="795"/>
      <c r="V46" s="147"/>
      <c r="W46" s="160" t="s">
        <v>4</v>
      </c>
    </row>
    <row r="47" spans="1:23" ht="18.75">
      <c r="A47" s="771" t="s">
        <v>261</v>
      </c>
      <c r="B47" s="772"/>
      <c r="C47" s="772"/>
      <c r="D47" s="772"/>
      <c r="E47" s="772"/>
      <c r="F47" s="148"/>
      <c r="G47" s="161" t="s">
        <v>4</v>
      </c>
      <c r="H47" s="823"/>
      <c r="I47" s="846" t="s">
        <v>262</v>
      </c>
      <c r="J47" s="772"/>
      <c r="K47" s="772"/>
      <c r="L47" s="772"/>
      <c r="M47" s="772"/>
      <c r="N47" s="148"/>
      <c r="O47" s="161" t="s">
        <v>4</v>
      </c>
      <c r="P47" s="843"/>
      <c r="Q47" s="771" t="s">
        <v>281</v>
      </c>
      <c r="R47" s="772"/>
      <c r="S47" s="772"/>
      <c r="T47" s="772"/>
      <c r="U47" s="772"/>
      <c r="V47" s="148"/>
      <c r="W47" s="161" t="s">
        <v>4</v>
      </c>
    </row>
    <row r="48" spans="1:23" ht="19.5" thickBot="1">
      <c r="A48" s="825" t="s">
        <v>305</v>
      </c>
      <c r="B48" s="826"/>
      <c r="C48" s="826"/>
      <c r="D48" s="826"/>
      <c r="E48" s="826"/>
      <c r="F48" s="165"/>
      <c r="G48" s="166" t="s">
        <v>4</v>
      </c>
      <c r="H48" s="824"/>
      <c r="I48" s="847" t="s">
        <v>263</v>
      </c>
      <c r="J48" s="774"/>
      <c r="K48" s="774"/>
      <c r="L48" s="774"/>
      <c r="M48" s="774"/>
      <c r="N48" s="154"/>
      <c r="O48" s="164" t="s">
        <v>4</v>
      </c>
      <c r="P48" s="844"/>
      <c r="Q48" s="773" t="s">
        <v>282</v>
      </c>
      <c r="R48" s="774"/>
      <c r="S48" s="774"/>
      <c r="T48" s="774"/>
      <c r="U48" s="774"/>
      <c r="V48" s="154"/>
      <c r="W48" s="164" t="s">
        <v>4</v>
      </c>
    </row>
    <row r="49" spans="1:19" ht="15.75" thickBot="1">
      <c r="A49" s="768" t="s">
        <v>162</v>
      </c>
      <c r="B49" s="769"/>
      <c r="C49" s="769"/>
      <c r="D49" s="769"/>
      <c r="E49" s="769"/>
      <c r="F49" s="769"/>
      <c r="G49" s="769"/>
      <c r="H49" s="769"/>
      <c r="I49" s="769"/>
      <c r="J49" s="770"/>
      <c r="S49" s="128"/>
    </row>
    <row r="51" spans="1:18" ht="1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R51" s="128"/>
    </row>
    <row r="52" spans="1:10" ht="15">
      <c r="A52" s="142"/>
      <c r="B52" s="804"/>
      <c r="C52" s="804"/>
      <c r="D52" s="804"/>
      <c r="E52" s="804"/>
      <c r="F52" s="804"/>
      <c r="G52" s="804"/>
      <c r="H52" s="804"/>
      <c r="I52" s="804"/>
      <c r="J52" s="804"/>
    </row>
    <row r="53" spans="1:10" ht="15">
      <c r="A53" s="142"/>
      <c r="B53" s="142"/>
      <c r="C53" s="142"/>
      <c r="D53" s="142"/>
      <c r="E53" s="142"/>
      <c r="F53" s="142"/>
      <c r="G53" s="142"/>
      <c r="H53" s="142"/>
      <c r="I53" s="142"/>
      <c r="J53" s="142"/>
    </row>
    <row r="54" spans="1:10" ht="15">
      <c r="A54" s="142"/>
      <c r="B54" s="142"/>
      <c r="C54" s="142"/>
      <c r="D54" s="142"/>
      <c r="E54" s="142"/>
      <c r="F54" s="142"/>
      <c r="G54" s="142"/>
      <c r="H54" s="142"/>
      <c r="I54" s="142"/>
      <c r="J54" s="142"/>
    </row>
    <row r="76" spans="14:22" ht="18.75">
      <c r="N76" s="51"/>
      <c r="O76" s="51"/>
      <c r="P76" s="51"/>
      <c r="Q76" s="51"/>
      <c r="R76" s="51"/>
      <c r="S76" s="51"/>
      <c r="T76" s="52"/>
      <c r="U76" s="52"/>
      <c r="V76" s="52"/>
    </row>
  </sheetData>
  <sheetProtection/>
  <mergeCells count="90">
    <mergeCell ref="I47:M47"/>
    <mergeCell ref="A40:E40"/>
    <mergeCell ref="I48:M48"/>
    <mergeCell ref="I35:M35"/>
    <mergeCell ref="I36:M36"/>
    <mergeCell ref="I41:M41"/>
    <mergeCell ref="I42:M42"/>
    <mergeCell ref="I43:M43"/>
    <mergeCell ref="I44:M44"/>
    <mergeCell ref="I37:M37"/>
    <mergeCell ref="A44:E44"/>
    <mergeCell ref="A35:E35"/>
    <mergeCell ref="A42:E42"/>
    <mergeCell ref="A41:E41"/>
    <mergeCell ref="A37:E37"/>
    <mergeCell ref="A36:E36"/>
    <mergeCell ref="A38:E38"/>
    <mergeCell ref="A39:E39"/>
    <mergeCell ref="A45:E45"/>
    <mergeCell ref="I45:M45"/>
    <mergeCell ref="I32:W32"/>
    <mergeCell ref="P33:P48"/>
    <mergeCell ref="Q36:U36"/>
    <mergeCell ref="I40:M40"/>
    <mergeCell ref="I39:M39"/>
    <mergeCell ref="I38:M38"/>
    <mergeCell ref="A34:E34"/>
    <mergeCell ref="A47:E47"/>
    <mergeCell ref="I34:M34"/>
    <mergeCell ref="O30:Q30"/>
    <mergeCell ref="O31:Q31"/>
    <mergeCell ref="N26:N27"/>
    <mergeCell ref="I26:L27"/>
    <mergeCell ref="O27:Q27"/>
    <mergeCell ref="O29:Q29"/>
    <mergeCell ref="I29:L29"/>
    <mergeCell ref="A31:E31"/>
    <mergeCell ref="Q35:U35"/>
    <mergeCell ref="A30:E30"/>
    <mergeCell ref="A46:E46"/>
    <mergeCell ref="I46:M46"/>
    <mergeCell ref="H25:H48"/>
    <mergeCell ref="A48:E48"/>
    <mergeCell ref="A43:E43"/>
    <mergeCell ref="I33:M33"/>
    <mergeCell ref="A32:E32"/>
    <mergeCell ref="S30:V30"/>
    <mergeCell ref="S31:V31"/>
    <mergeCell ref="O28:Q28"/>
    <mergeCell ref="I30:L30"/>
    <mergeCell ref="I31:L31"/>
    <mergeCell ref="I28:L28"/>
    <mergeCell ref="B52:J52"/>
    <mergeCell ref="A6:R6"/>
    <mergeCell ref="A10:B10"/>
    <mergeCell ref="A25:F25"/>
    <mergeCell ref="A24:M24"/>
    <mergeCell ref="A9:R9"/>
    <mergeCell ref="A28:E28"/>
    <mergeCell ref="A33:E33"/>
    <mergeCell ref="Q33:U33"/>
    <mergeCell ref="Q34:U34"/>
    <mergeCell ref="Q46:U46"/>
    <mergeCell ref="Q39:U39"/>
    <mergeCell ref="Q40:U40"/>
    <mergeCell ref="Q41:U41"/>
    <mergeCell ref="Q42:U42"/>
    <mergeCell ref="Q38:U38"/>
    <mergeCell ref="Q44:U44"/>
    <mergeCell ref="Q43:U43"/>
    <mergeCell ref="Q45:U45"/>
    <mergeCell ref="M3:N3"/>
    <mergeCell ref="D3:L3"/>
    <mergeCell ref="D4:L4"/>
    <mergeCell ref="A29:E29"/>
    <mergeCell ref="P3:Q3"/>
    <mergeCell ref="R3:S3"/>
    <mergeCell ref="S29:V29"/>
    <mergeCell ref="A27:E27"/>
    <mergeCell ref="A26:E26"/>
    <mergeCell ref="A1:S1"/>
    <mergeCell ref="A5:S5"/>
    <mergeCell ref="M4:S4"/>
    <mergeCell ref="A49:J49"/>
    <mergeCell ref="Q47:U47"/>
    <mergeCell ref="Q48:U48"/>
    <mergeCell ref="S27:V27"/>
    <mergeCell ref="S28:V28"/>
    <mergeCell ref="Q37:U37"/>
    <mergeCell ref="A2:S2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tabSelected="1" zoomScale="85" zoomScaleNormal="85" zoomScalePageLayoutView="0" workbookViewId="0" topLeftCell="A1">
      <selection activeCell="D65" sqref="D65"/>
    </sheetView>
  </sheetViews>
  <sheetFormatPr defaultColWidth="9.140625" defaultRowHeight="12.75"/>
  <cols>
    <col min="1" max="1" width="18.140625" style="0" bestFit="1" customWidth="1"/>
    <col min="2" max="2" width="108.00390625" style="0" customWidth="1"/>
    <col min="3" max="3" width="9.28125" style="0" bestFit="1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79.140625" style="0" customWidth="1"/>
    <col min="10" max="10" width="11.7109375" style="0" bestFit="1" customWidth="1"/>
    <col min="11" max="11" width="6.57421875" style="18" bestFit="1" customWidth="1"/>
    <col min="12" max="12" width="13.00390625" style="6" bestFit="1" customWidth="1"/>
    <col min="13" max="13" width="5.7109375" style="14" bestFit="1" customWidth="1"/>
    <col min="14" max="14" width="17.57421875" style="14" bestFit="1" customWidth="1"/>
    <col min="15" max="15" width="11.00390625" style="6" bestFit="1" customWidth="1"/>
  </cols>
  <sheetData>
    <row r="1" spans="1:15" s="204" customFormat="1" ht="18">
      <c r="A1" s="912" t="s">
        <v>61</v>
      </c>
      <c r="B1" s="913"/>
      <c r="C1" s="913"/>
      <c r="D1" s="913"/>
      <c r="E1" s="913"/>
      <c r="F1" s="914"/>
      <c r="G1" s="203"/>
      <c r="H1" s="203"/>
      <c r="K1" s="205"/>
      <c r="L1" s="206"/>
      <c r="M1" s="207"/>
      <c r="N1" s="207"/>
      <c r="O1" s="206"/>
    </row>
    <row r="2" spans="1:15" s="204" customFormat="1" ht="26.25" thickBot="1">
      <c r="A2" s="931" t="str">
        <f>'dados de entrada'!B15</f>
        <v>PREFEITURA MUNICIPAL DE BOMBINHAS</v>
      </c>
      <c r="B2" s="932"/>
      <c r="C2" s="932"/>
      <c r="D2" s="932"/>
      <c r="E2" s="932"/>
      <c r="F2" s="933"/>
      <c r="G2" s="208"/>
      <c r="H2" s="208"/>
      <c r="K2" s="205"/>
      <c r="L2" s="206"/>
      <c r="M2" s="207"/>
      <c r="N2" s="207"/>
      <c r="O2" s="206"/>
    </row>
    <row r="3" spans="1:15" s="204" customFormat="1" ht="12.75" customHeight="1">
      <c r="A3" s="883" t="s">
        <v>18</v>
      </c>
      <c r="B3" s="884"/>
      <c r="C3" s="885" t="s">
        <v>379</v>
      </c>
      <c r="D3" s="887" t="str">
        <f>'dados de entrada'!B11</f>
        <v>4.812.441-0</v>
      </c>
      <c r="E3" s="888"/>
      <c r="F3" s="209" t="s">
        <v>112</v>
      </c>
      <c r="G3" s="210"/>
      <c r="H3" s="210"/>
      <c r="K3" s="205"/>
      <c r="L3" s="206"/>
      <c r="M3" s="207"/>
      <c r="N3" s="207"/>
      <c r="O3" s="206"/>
    </row>
    <row r="4" spans="1:15" s="204" customFormat="1" ht="18.75" thickBot="1">
      <c r="A4" s="919" t="str">
        <f>'dados de entrada'!B8</f>
        <v>PAVIMENTAÇÃO ASFÁLTICA E DRENAGEM PLUVIAL</v>
      </c>
      <c r="B4" s="920"/>
      <c r="C4" s="886"/>
      <c r="D4" s="889"/>
      <c r="E4" s="890"/>
      <c r="F4" s="391">
        <f>'dados de entrada'!B3</f>
        <v>41699</v>
      </c>
      <c r="G4" s="211"/>
      <c r="H4" s="211"/>
      <c r="K4" s="205"/>
      <c r="L4" s="206"/>
      <c r="M4" s="207"/>
      <c r="N4" s="207"/>
      <c r="O4" s="206"/>
    </row>
    <row r="5" spans="1:15" s="204" customFormat="1" ht="12.75">
      <c r="A5" s="390" t="s">
        <v>196</v>
      </c>
      <c r="B5" s="918"/>
      <c r="C5" s="918"/>
      <c r="D5" s="918"/>
      <c r="E5" s="936" t="s">
        <v>20</v>
      </c>
      <c r="F5" s="937"/>
      <c r="G5" s="210"/>
      <c r="H5" s="212"/>
      <c r="K5" s="205"/>
      <c r="L5" s="206"/>
      <c r="M5" s="207"/>
      <c r="N5" s="207"/>
      <c r="O5" s="206"/>
    </row>
    <row r="6" spans="1:15" s="204" customFormat="1" ht="18">
      <c r="A6" s="389" t="str">
        <f>'dados de entrada'!C19</f>
        <v>RUA ILHA DE MARAJÓ - BAIRRO QUATRO ILHAS</v>
      </c>
      <c r="B6" s="392"/>
      <c r="C6" s="392"/>
      <c r="D6" s="392"/>
      <c r="E6" s="934" t="s">
        <v>197</v>
      </c>
      <c r="F6" s="935"/>
      <c r="G6" s="213"/>
      <c r="H6" s="213"/>
      <c r="K6" s="205"/>
      <c r="L6" s="206"/>
      <c r="M6" s="207"/>
      <c r="N6" s="207"/>
      <c r="O6" s="206"/>
    </row>
    <row r="7" spans="1:15" s="204" customFormat="1" ht="15.75" thickBot="1">
      <c r="A7" s="938"/>
      <c r="B7" s="939"/>
      <c r="C7" s="939"/>
      <c r="D7" s="939"/>
      <c r="E7" s="484" t="s">
        <v>336</v>
      </c>
      <c r="F7" s="483">
        <f>'dados de entrada'!B10</f>
        <v>0.2373</v>
      </c>
      <c r="G7" s="214"/>
      <c r="H7" s="214"/>
      <c r="K7" s="205"/>
      <c r="L7" s="206"/>
      <c r="M7" s="207"/>
      <c r="N7" s="207"/>
      <c r="O7" s="206"/>
    </row>
    <row r="8" spans="1:15" s="204" customFormat="1" ht="21" thickBot="1">
      <c r="A8" s="628">
        <f>'dados de entrada'!B3</f>
        <v>41699</v>
      </c>
      <c r="B8" s="215" t="s">
        <v>292</v>
      </c>
      <c r="C8" s="915" t="s">
        <v>293</v>
      </c>
      <c r="D8" s="915"/>
      <c r="E8" s="915"/>
      <c r="F8" s="916"/>
      <c r="G8" s="216"/>
      <c r="H8" s="216"/>
      <c r="K8" s="205"/>
      <c r="L8" s="206"/>
      <c r="M8" s="207"/>
      <c r="N8" s="207"/>
      <c r="O8" s="206"/>
    </row>
    <row r="9" spans="1:15" s="218" customFormat="1" ht="18.75" thickBot="1">
      <c r="A9" s="404" t="s">
        <v>0</v>
      </c>
      <c r="B9" s="217" t="s">
        <v>1</v>
      </c>
      <c r="C9" s="405" t="s">
        <v>2</v>
      </c>
      <c r="D9" s="406" t="s">
        <v>10</v>
      </c>
      <c r="E9" s="898" t="s">
        <v>49</v>
      </c>
      <c r="F9" s="899"/>
      <c r="I9" s="219"/>
      <c r="K9" s="895" t="s">
        <v>50</v>
      </c>
      <c r="L9" s="896"/>
      <c r="M9" s="896"/>
      <c r="N9" s="896"/>
      <c r="O9" s="897"/>
    </row>
    <row r="10" spans="1:15" s="218" customFormat="1" ht="18">
      <c r="A10" s="408" t="s">
        <v>22</v>
      </c>
      <c r="B10" s="409" t="s">
        <v>52</v>
      </c>
      <c r="C10" s="410"/>
      <c r="D10" s="220"/>
      <c r="E10" s="859"/>
      <c r="F10" s="860"/>
      <c r="I10" s="219"/>
      <c r="K10" s="221"/>
      <c r="L10" s="221"/>
      <c r="M10" s="221"/>
      <c r="N10" s="221"/>
      <c r="O10" s="221"/>
    </row>
    <row r="11" spans="1:15" s="218" customFormat="1" ht="18">
      <c r="A11" s="357" t="s">
        <v>8</v>
      </c>
      <c r="B11" s="407" t="s">
        <v>214</v>
      </c>
      <c r="C11" s="544" t="s">
        <v>3</v>
      </c>
      <c r="D11" s="224">
        <v>3</v>
      </c>
      <c r="E11" s="861" t="s">
        <v>191</v>
      </c>
      <c r="F11" s="862"/>
      <c r="I11" s="219"/>
      <c r="K11" s="221"/>
      <c r="L11" s="221"/>
      <c r="M11" s="221"/>
      <c r="N11" s="221"/>
      <c r="O11" s="221"/>
    </row>
    <row r="12" spans="1:15" s="218" customFormat="1" ht="18.75" thickBot="1">
      <c r="A12" s="222"/>
      <c r="B12" s="403"/>
      <c r="C12" s="546"/>
      <c r="D12" s="223"/>
      <c r="E12" s="546"/>
      <c r="F12" s="547"/>
      <c r="I12" s="219"/>
      <c r="K12" s="221"/>
      <c r="L12" s="221"/>
      <c r="M12" s="221"/>
      <c r="N12" s="221"/>
      <c r="O12" s="221"/>
    </row>
    <row r="13" spans="1:15" s="218" customFormat="1" ht="18">
      <c r="A13" s="408" t="s">
        <v>165</v>
      </c>
      <c r="B13" s="409" t="s">
        <v>57</v>
      </c>
      <c r="C13" s="410"/>
      <c r="D13" s="220"/>
      <c r="E13" s="929"/>
      <c r="F13" s="930"/>
      <c r="I13" s="219"/>
      <c r="K13" s="221"/>
      <c r="L13" s="221"/>
      <c r="M13" s="221"/>
      <c r="N13" s="221"/>
      <c r="O13" s="221"/>
    </row>
    <row r="14" spans="1:15" s="218" customFormat="1" ht="18">
      <c r="A14" s="357" t="s">
        <v>53</v>
      </c>
      <c r="B14" s="407" t="s">
        <v>324</v>
      </c>
      <c r="C14" s="544" t="s">
        <v>9</v>
      </c>
      <c r="D14" s="224">
        <f>Escavação!N24+Escavação!O24</f>
        <v>533</v>
      </c>
      <c r="E14" s="861" t="s">
        <v>60</v>
      </c>
      <c r="F14" s="862"/>
      <c r="I14" s="219"/>
      <c r="K14" s="221"/>
      <c r="L14" s="221"/>
      <c r="M14" s="221"/>
      <c r="N14" s="221"/>
      <c r="O14" s="221"/>
    </row>
    <row r="15" spans="1:15" s="218" customFormat="1" ht="18">
      <c r="A15" s="357" t="s">
        <v>54</v>
      </c>
      <c r="B15" s="407" t="s">
        <v>421</v>
      </c>
      <c r="C15" s="544" t="s">
        <v>3</v>
      </c>
      <c r="D15" s="224">
        <f>Escavação!S24</f>
        <v>276</v>
      </c>
      <c r="E15" s="861" t="s">
        <v>60</v>
      </c>
      <c r="F15" s="862"/>
      <c r="I15" s="219"/>
      <c r="K15" s="221"/>
      <c r="L15" s="221"/>
      <c r="M15" s="221"/>
      <c r="N15" s="221"/>
      <c r="O15" s="221"/>
    </row>
    <row r="16" spans="1:15" s="218" customFormat="1" ht="18">
      <c r="A16" s="357" t="s">
        <v>55</v>
      </c>
      <c r="B16" s="407" t="s">
        <v>215</v>
      </c>
      <c r="C16" s="544" t="s">
        <v>9</v>
      </c>
      <c r="D16" s="224">
        <f>Escavação!P24</f>
        <v>11</v>
      </c>
      <c r="E16" s="861" t="s">
        <v>60</v>
      </c>
      <c r="F16" s="862"/>
      <c r="I16" s="219"/>
      <c r="K16" s="221"/>
      <c r="L16" s="221"/>
      <c r="M16" s="221"/>
      <c r="N16" s="221"/>
      <c r="O16" s="221"/>
    </row>
    <row r="17" spans="1:15" s="218" customFormat="1" ht="18">
      <c r="A17" s="357" t="s">
        <v>56</v>
      </c>
      <c r="B17" s="407" t="s">
        <v>408</v>
      </c>
      <c r="C17" s="544" t="s">
        <v>51</v>
      </c>
      <c r="D17" s="224">
        <f>Escavação!F26</f>
        <v>104</v>
      </c>
      <c r="E17" s="861" t="s">
        <v>60</v>
      </c>
      <c r="F17" s="862"/>
      <c r="I17" s="219"/>
      <c r="K17" s="221"/>
      <c r="L17" s="221"/>
      <c r="M17" s="221"/>
      <c r="N17" s="221"/>
      <c r="O17" s="221"/>
    </row>
    <row r="18" spans="1:15" s="218" customFormat="1" ht="18">
      <c r="A18" s="357" t="s">
        <v>154</v>
      </c>
      <c r="B18" s="407" t="s">
        <v>409</v>
      </c>
      <c r="C18" s="544" t="s">
        <v>51</v>
      </c>
      <c r="D18" s="224">
        <f>Escavação!F26</f>
        <v>104</v>
      </c>
      <c r="E18" s="861" t="s">
        <v>60</v>
      </c>
      <c r="F18" s="862"/>
      <c r="I18" s="219"/>
      <c r="K18" s="221"/>
      <c r="L18" s="221"/>
      <c r="M18" s="221"/>
      <c r="N18" s="221"/>
      <c r="O18" s="221"/>
    </row>
    <row r="19" spans="1:15" s="218" customFormat="1" ht="18">
      <c r="A19" s="357" t="s">
        <v>194</v>
      </c>
      <c r="B19" s="407" t="s">
        <v>410</v>
      </c>
      <c r="C19" s="544" t="s">
        <v>51</v>
      </c>
      <c r="D19" s="224">
        <f>Escavação!F27</f>
        <v>260</v>
      </c>
      <c r="E19" s="861" t="s">
        <v>60</v>
      </c>
      <c r="F19" s="862"/>
      <c r="I19" s="219"/>
      <c r="K19" s="221"/>
      <c r="L19" s="221"/>
      <c r="M19" s="221"/>
      <c r="N19" s="221"/>
      <c r="O19" s="221"/>
    </row>
    <row r="20" spans="1:15" s="218" customFormat="1" ht="18">
      <c r="A20" s="357" t="s">
        <v>195</v>
      </c>
      <c r="B20" s="407" t="s">
        <v>411</v>
      </c>
      <c r="C20" s="544" t="s">
        <v>51</v>
      </c>
      <c r="D20" s="224">
        <f>Escavação!F27</f>
        <v>260</v>
      </c>
      <c r="E20" s="861" t="s">
        <v>60</v>
      </c>
      <c r="F20" s="862"/>
      <c r="I20" s="219"/>
      <c r="K20" s="221"/>
      <c r="L20" s="221"/>
      <c r="M20" s="221"/>
      <c r="N20" s="221"/>
      <c r="O20" s="221"/>
    </row>
    <row r="21" spans="1:15" s="218" customFormat="1" ht="18">
      <c r="A21" s="357" t="s">
        <v>298</v>
      </c>
      <c r="B21" s="407" t="s">
        <v>412</v>
      </c>
      <c r="C21" s="544" t="s">
        <v>51</v>
      </c>
      <c r="D21" s="224">
        <f>Escavação!F28</f>
        <v>38</v>
      </c>
      <c r="E21" s="861" t="s">
        <v>60</v>
      </c>
      <c r="F21" s="862"/>
      <c r="I21" s="219"/>
      <c r="K21" s="221"/>
      <c r="L21" s="221"/>
      <c r="M21" s="221"/>
      <c r="N21" s="221"/>
      <c r="O21" s="221"/>
    </row>
    <row r="22" spans="1:15" s="218" customFormat="1" ht="18">
      <c r="A22" s="357" t="s">
        <v>299</v>
      </c>
      <c r="B22" s="407" t="s">
        <v>413</v>
      </c>
      <c r="C22" s="544" t="s">
        <v>51</v>
      </c>
      <c r="D22" s="224">
        <f>Escavação!F28</f>
        <v>38</v>
      </c>
      <c r="E22" s="861" t="s">
        <v>60</v>
      </c>
      <c r="F22" s="862"/>
      <c r="I22" s="219"/>
      <c r="K22" s="221"/>
      <c r="L22" s="221"/>
      <c r="M22" s="221"/>
      <c r="N22" s="221"/>
      <c r="O22" s="221"/>
    </row>
    <row r="23" spans="1:15" s="218" customFormat="1" ht="18">
      <c r="A23" s="923" t="s">
        <v>300</v>
      </c>
      <c r="B23" s="924" t="s">
        <v>422</v>
      </c>
      <c r="C23" s="903" t="s">
        <v>3</v>
      </c>
      <c r="D23" s="940">
        <f>ROUND((F23+F24+F25),0)</f>
        <v>229</v>
      </c>
      <c r="E23" s="356" t="s">
        <v>321</v>
      </c>
      <c r="F23" s="358">
        <f>(((2*PI()*0.19)+0.3)*D17)*0.3</f>
        <v>46.606722500960586</v>
      </c>
      <c r="G23" s="225"/>
      <c r="I23" s="219"/>
      <c r="K23" s="221"/>
      <c r="L23" s="221"/>
      <c r="M23" s="221"/>
      <c r="N23" s="221"/>
      <c r="O23" s="221"/>
    </row>
    <row r="24" spans="1:15" s="218" customFormat="1" ht="18">
      <c r="A24" s="923"/>
      <c r="B24" s="925"/>
      <c r="C24" s="903"/>
      <c r="D24" s="940"/>
      <c r="E24" s="356" t="s">
        <v>322</v>
      </c>
      <c r="F24" s="358">
        <f>(((2*PI()*0.26)+0.3)*D20)*0.3</f>
        <v>150.82299802960202</v>
      </c>
      <c r="G24" s="225"/>
      <c r="I24" s="219"/>
      <c r="K24" s="221"/>
      <c r="L24" s="221"/>
      <c r="M24" s="221"/>
      <c r="N24" s="221"/>
      <c r="O24" s="221"/>
    </row>
    <row r="25" spans="1:15" s="218" customFormat="1" ht="18">
      <c r="A25" s="923"/>
      <c r="B25" s="926"/>
      <c r="C25" s="903"/>
      <c r="D25" s="940"/>
      <c r="E25" s="356" t="s">
        <v>341</v>
      </c>
      <c r="F25" s="358">
        <f>(((2*PI()*0.39)+0.3)*D22)*0.3</f>
        <v>31.355041875720435</v>
      </c>
      <c r="G25" s="225"/>
      <c r="I25" s="924" t="s">
        <v>434</v>
      </c>
      <c r="K25" s="221"/>
      <c r="L25" s="221"/>
      <c r="M25" s="221"/>
      <c r="N25" s="221"/>
      <c r="O25" s="221"/>
    </row>
    <row r="26" spans="1:15" s="218" customFormat="1" ht="18">
      <c r="A26" s="357" t="s">
        <v>304</v>
      </c>
      <c r="B26" s="407" t="s">
        <v>221</v>
      </c>
      <c r="C26" s="544" t="s">
        <v>9</v>
      </c>
      <c r="D26" s="224">
        <f>Escavação!R24</f>
        <v>446</v>
      </c>
      <c r="E26" s="861" t="s">
        <v>60</v>
      </c>
      <c r="F26" s="862"/>
      <c r="I26" s="925"/>
      <c r="K26" s="221"/>
      <c r="L26" s="221"/>
      <c r="M26" s="221"/>
      <c r="N26" s="221"/>
      <c r="O26" s="221"/>
    </row>
    <row r="27" spans="1:15" s="218" customFormat="1" ht="18">
      <c r="A27" s="357" t="s">
        <v>306</v>
      </c>
      <c r="B27" s="407" t="s">
        <v>316</v>
      </c>
      <c r="C27" s="544" t="s">
        <v>9</v>
      </c>
      <c r="D27" s="224">
        <f>D14-D26</f>
        <v>87</v>
      </c>
      <c r="E27" s="861" t="s">
        <v>60</v>
      </c>
      <c r="F27" s="862"/>
      <c r="I27" s="926"/>
      <c r="K27" s="221"/>
      <c r="L27" s="221"/>
      <c r="M27" s="221"/>
      <c r="N27" s="221"/>
      <c r="O27" s="221"/>
    </row>
    <row r="28" spans="1:15" s="218" customFormat="1" ht="18">
      <c r="A28" s="357" t="s">
        <v>342</v>
      </c>
      <c r="B28" s="407" t="s">
        <v>361</v>
      </c>
      <c r="C28" s="544" t="s">
        <v>4</v>
      </c>
      <c r="D28" s="224">
        <f>Escavação!F33</f>
        <v>6</v>
      </c>
      <c r="E28" s="861" t="s">
        <v>60</v>
      </c>
      <c r="F28" s="862"/>
      <c r="I28" s="219"/>
      <c r="K28" s="221"/>
      <c r="L28" s="221"/>
      <c r="M28" s="221"/>
      <c r="N28" s="221"/>
      <c r="O28" s="221"/>
    </row>
    <row r="29" spans="1:15" s="218" customFormat="1" ht="18">
      <c r="A29" s="357" t="s">
        <v>353</v>
      </c>
      <c r="B29" s="407" t="s">
        <v>362</v>
      </c>
      <c r="C29" s="544" t="s">
        <v>4</v>
      </c>
      <c r="D29" s="224">
        <f>Escavação!F34</f>
        <v>6</v>
      </c>
      <c r="E29" s="861" t="s">
        <v>60</v>
      </c>
      <c r="F29" s="862"/>
      <c r="I29" s="219"/>
      <c r="K29" s="221"/>
      <c r="L29" s="221"/>
      <c r="M29" s="221"/>
      <c r="N29" s="221"/>
      <c r="O29" s="221"/>
    </row>
    <row r="30" spans="1:15" s="218" customFormat="1" ht="18">
      <c r="A30" s="357" t="s">
        <v>414</v>
      </c>
      <c r="B30" s="407" t="s">
        <v>338</v>
      </c>
      <c r="C30" s="544" t="s">
        <v>4</v>
      </c>
      <c r="D30" s="224">
        <f>Escavação!F43</f>
        <v>25</v>
      </c>
      <c r="E30" s="861" t="s">
        <v>60</v>
      </c>
      <c r="F30" s="862"/>
      <c r="I30" s="219"/>
      <c r="K30" s="221"/>
      <c r="L30" s="221"/>
      <c r="M30" s="221"/>
      <c r="N30" s="221"/>
      <c r="O30" s="221"/>
    </row>
    <row r="31" spans="1:15" s="218" customFormat="1" ht="18">
      <c r="A31" s="357" t="s">
        <v>415</v>
      </c>
      <c r="B31" s="407" t="s">
        <v>428</v>
      </c>
      <c r="C31" s="544" t="s">
        <v>51</v>
      </c>
      <c r="D31" s="407">
        <v>202</v>
      </c>
      <c r="E31" s="861" t="s">
        <v>60</v>
      </c>
      <c r="F31" s="862"/>
      <c r="I31" s="219"/>
      <c r="K31" s="221"/>
      <c r="L31" s="221"/>
      <c r="M31" s="221"/>
      <c r="N31" s="221"/>
      <c r="O31" s="221"/>
    </row>
    <row r="32" spans="1:15" s="218" customFormat="1" ht="18">
      <c r="A32" s="357" t="s">
        <v>416</v>
      </c>
      <c r="B32" s="407" t="s">
        <v>430</v>
      </c>
      <c r="C32" s="544" t="s">
        <v>4</v>
      </c>
      <c r="D32" s="407">
        <v>7</v>
      </c>
      <c r="E32" s="861" t="s">
        <v>60</v>
      </c>
      <c r="F32" s="862"/>
      <c r="I32" s="219"/>
      <c r="K32" s="221"/>
      <c r="L32" s="221"/>
      <c r="M32" s="221"/>
      <c r="N32" s="221"/>
      <c r="O32" s="221"/>
    </row>
    <row r="33" spans="1:15" s="218" customFormat="1" ht="18.75" thickBot="1">
      <c r="A33" s="550"/>
      <c r="B33" s="551"/>
      <c r="C33" s="545"/>
      <c r="D33" s="551"/>
      <c r="E33" s="927"/>
      <c r="F33" s="928"/>
      <c r="I33" s="219"/>
      <c r="K33" s="221"/>
      <c r="L33" s="221"/>
      <c r="M33" s="221"/>
      <c r="N33" s="221"/>
      <c r="O33" s="221"/>
    </row>
    <row r="34" spans="1:15" s="227" customFormat="1" ht="15.75">
      <c r="A34" s="493" t="s">
        <v>58</v>
      </c>
      <c r="B34" s="494" t="s">
        <v>355</v>
      </c>
      <c r="C34" s="549"/>
      <c r="D34" s="552"/>
      <c r="E34" s="872"/>
      <c r="F34" s="873"/>
      <c r="I34" s="228"/>
      <c r="K34" s="229"/>
      <c r="L34" s="228"/>
      <c r="M34" s="230"/>
      <c r="N34" s="230"/>
      <c r="O34" s="228"/>
    </row>
    <row r="35" spans="1:15" s="218" customFormat="1" ht="18">
      <c r="A35" s="411" t="s">
        <v>59</v>
      </c>
      <c r="B35" s="407" t="s">
        <v>222</v>
      </c>
      <c r="C35" s="544" t="s">
        <v>3</v>
      </c>
      <c r="D35" s="231">
        <v>2152</v>
      </c>
      <c r="E35" s="861" t="s">
        <v>313</v>
      </c>
      <c r="F35" s="862"/>
      <c r="H35" s="232"/>
      <c r="I35" s="219"/>
      <c r="K35" s="221"/>
      <c r="L35" s="221"/>
      <c r="M35" s="221"/>
      <c r="N35" s="221"/>
      <c r="O35" s="221"/>
    </row>
    <row r="36" spans="1:15" s="218" customFormat="1" ht="18">
      <c r="A36" s="411" t="s">
        <v>307</v>
      </c>
      <c r="B36" s="461" t="s">
        <v>442</v>
      </c>
      <c r="C36" s="544" t="s">
        <v>51</v>
      </c>
      <c r="D36" s="231">
        <v>665</v>
      </c>
      <c r="E36" s="861" t="s">
        <v>313</v>
      </c>
      <c r="F36" s="862"/>
      <c r="H36" s="232"/>
      <c r="I36" s="219"/>
      <c r="K36" s="221"/>
      <c r="L36" s="221"/>
      <c r="M36" s="221"/>
      <c r="N36" s="221"/>
      <c r="O36" s="221"/>
    </row>
    <row r="37" spans="1:15" s="218" customFormat="1" ht="18.75" thickBot="1">
      <c r="A37" s="411" t="s">
        <v>308</v>
      </c>
      <c r="B37" s="461" t="s">
        <v>356</v>
      </c>
      <c r="C37" s="544" t="s">
        <v>9</v>
      </c>
      <c r="D37" s="231">
        <f>ROUND(D35*0.15,0)</f>
        <v>323</v>
      </c>
      <c r="E37" s="861" t="s">
        <v>386</v>
      </c>
      <c r="F37" s="862"/>
      <c r="H37" s="232"/>
      <c r="I37" s="219"/>
      <c r="K37" s="221"/>
      <c r="L37" s="221"/>
      <c r="M37" s="221"/>
      <c r="N37" s="221"/>
      <c r="O37" s="221"/>
    </row>
    <row r="38" spans="1:15" s="218" customFormat="1" ht="18.75" thickBot="1">
      <c r="A38" s="411" t="s">
        <v>309</v>
      </c>
      <c r="B38" s="461" t="s">
        <v>357</v>
      </c>
      <c r="C38" s="544" t="s">
        <v>3</v>
      </c>
      <c r="D38" s="231">
        <f>D35</f>
        <v>2152</v>
      </c>
      <c r="E38" s="861" t="s">
        <v>313</v>
      </c>
      <c r="F38" s="862"/>
      <c r="H38" s="232"/>
      <c r="I38" s="219"/>
      <c r="J38" s="500"/>
      <c r="K38" s="221"/>
      <c r="L38" s="221"/>
      <c r="M38" s="221"/>
      <c r="N38" s="221"/>
      <c r="O38" s="221"/>
    </row>
    <row r="39" spans="1:15" s="218" customFormat="1" ht="18">
      <c r="A39" s="411" t="s">
        <v>310</v>
      </c>
      <c r="B39" s="461" t="s">
        <v>358</v>
      </c>
      <c r="C39" s="544" t="s">
        <v>3</v>
      </c>
      <c r="D39" s="231">
        <f>D35</f>
        <v>2152</v>
      </c>
      <c r="E39" s="861" t="s">
        <v>313</v>
      </c>
      <c r="F39" s="862"/>
      <c r="H39" s="232"/>
      <c r="I39" s="219"/>
      <c r="K39" s="221"/>
      <c r="L39" s="221"/>
      <c r="M39" s="221"/>
      <c r="N39" s="221"/>
      <c r="O39" s="221"/>
    </row>
    <row r="40" spans="1:15" s="218" customFormat="1" ht="18">
      <c r="A40" s="411" t="s">
        <v>317</v>
      </c>
      <c r="B40" s="461" t="s">
        <v>359</v>
      </c>
      <c r="C40" s="544" t="s">
        <v>360</v>
      </c>
      <c r="D40" s="231">
        <f>ROUND(2152*0.05*2.4,0)</f>
        <v>258</v>
      </c>
      <c r="E40" s="861" t="s">
        <v>387</v>
      </c>
      <c r="F40" s="862"/>
      <c r="H40" s="232"/>
      <c r="I40" s="219"/>
      <c r="K40" s="221"/>
      <c r="L40" s="221"/>
      <c r="M40" s="221"/>
      <c r="N40" s="221"/>
      <c r="O40" s="221"/>
    </row>
    <row r="41" spans="1:15" s="218" customFormat="1" ht="18.75" thickBot="1">
      <c r="A41" s="414"/>
      <c r="B41" s="462"/>
      <c r="C41" s="545"/>
      <c r="D41" s="234"/>
      <c r="E41" s="927"/>
      <c r="F41" s="928"/>
      <c r="H41" s="232"/>
      <c r="I41" s="219"/>
      <c r="K41" s="221"/>
      <c r="L41" s="221"/>
      <c r="M41" s="221"/>
      <c r="N41" s="221"/>
      <c r="O41" s="221"/>
    </row>
    <row r="42" spans="1:15" s="218" customFormat="1" ht="18">
      <c r="A42" s="493" t="s">
        <v>301</v>
      </c>
      <c r="B42" s="494" t="s">
        <v>388</v>
      </c>
      <c r="C42" s="495"/>
      <c r="D42" s="496"/>
      <c r="E42" s="872"/>
      <c r="F42" s="873"/>
      <c r="H42" s="232"/>
      <c r="I42" s="219"/>
      <c r="K42" s="221"/>
      <c r="L42" s="221"/>
      <c r="M42" s="221"/>
      <c r="N42" s="221"/>
      <c r="O42" s="221"/>
    </row>
    <row r="43" spans="1:15" s="218" customFormat="1" ht="18">
      <c r="A43" s="411" t="s">
        <v>149</v>
      </c>
      <c r="B43" s="407" t="s">
        <v>423</v>
      </c>
      <c r="C43" s="544" t="s">
        <v>9</v>
      </c>
      <c r="D43" s="224">
        <f>ROUND(543.4*0.05,1)</f>
        <v>27.2</v>
      </c>
      <c r="E43" s="861" t="s">
        <v>446</v>
      </c>
      <c r="F43" s="862"/>
      <c r="H43" s="232"/>
      <c r="I43" s="219"/>
      <c r="K43" s="221"/>
      <c r="L43" s="221"/>
      <c r="M43" s="221"/>
      <c r="N43" s="221"/>
      <c r="O43" s="221"/>
    </row>
    <row r="44" spans="1:15" s="218" customFormat="1" ht="18">
      <c r="A44" s="411" t="s">
        <v>303</v>
      </c>
      <c r="B44" s="407" t="s">
        <v>424</v>
      </c>
      <c r="C44" s="544" t="s">
        <v>3</v>
      </c>
      <c r="D44" s="224">
        <v>543.4</v>
      </c>
      <c r="E44" s="861" t="s">
        <v>313</v>
      </c>
      <c r="F44" s="862"/>
      <c r="H44" s="232"/>
      <c r="I44" s="219"/>
      <c r="K44" s="221"/>
      <c r="L44" s="221"/>
      <c r="M44" s="221"/>
      <c r="N44" s="221"/>
      <c r="O44" s="221"/>
    </row>
    <row r="45" spans="1:15" s="218" customFormat="1" ht="18">
      <c r="A45" s="411" t="s">
        <v>367</v>
      </c>
      <c r="B45" s="407" t="s">
        <v>389</v>
      </c>
      <c r="C45" s="544" t="s">
        <v>51</v>
      </c>
      <c r="D45" s="224">
        <v>373</v>
      </c>
      <c r="E45" s="861" t="s">
        <v>313</v>
      </c>
      <c r="F45" s="862"/>
      <c r="H45" s="232"/>
      <c r="I45" s="219"/>
      <c r="K45" s="221"/>
      <c r="L45" s="221"/>
      <c r="M45" s="221"/>
      <c r="N45" s="221"/>
      <c r="O45" s="221"/>
    </row>
    <row r="46" spans="1:15" s="218" customFormat="1" ht="18">
      <c r="A46" s="411" t="s">
        <v>368</v>
      </c>
      <c r="B46" s="407" t="s">
        <v>390</v>
      </c>
      <c r="C46" s="544" t="s">
        <v>3</v>
      </c>
      <c r="D46" s="224">
        <v>422.6</v>
      </c>
      <c r="E46" s="861" t="s">
        <v>313</v>
      </c>
      <c r="F46" s="862"/>
      <c r="H46" s="232"/>
      <c r="I46" s="219"/>
      <c r="K46" s="221"/>
      <c r="L46" s="221"/>
      <c r="M46" s="221"/>
      <c r="N46" s="221"/>
      <c r="O46" s="221"/>
    </row>
    <row r="47" spans="1:15" s="218" customFormat="1" ht="18">
      <c r="A47" s="411" t="s">
        <v>369</v>
      </c>
      <c r="B47" s="407" t="s">
        <v>391</v>
      </c>
      <c r="C47" s="544" t="s">
        <v>3</v>
      </c>
      <c r="D47" s="224">
        <v>79.5</v>
      </c>
      <c r="E47" s="861" t="s">
        <v>313</v>
      </c>
      <c r="F47" s="862"/>
      <c r="H47" s="232"/>
      <c r="I47" s="219"/>
      <c r="K47" s="221"/>
      <c r="L47" s="221"/>
      <c r="M47" s="221"/>
      <c r="N47" s="221"/>
      <c r="O47" s="221"/>
    </row>
    <row r="48" spans="1:15" s="218" customFormat="1" ht="18">
      <c r="A48" s="411" t="s">
        <v>374</v>
      </c>
      <c r="B48" s="407" t="s">
        <v>392</v>
      </c>
      <c r="C48" s="544" t="s">
        <v>3</v>
      </c>
      <c r="D48" s="224">
        <v>6.5</v>
      </c>
      <c r="E48" s="861" t="s">
        <v>313</v>
      </c>
      <c r="F48" s="862"/>
      <c r="H48" s="232"/>
      <c r="I48" s="219"/>
      <c r="K48" s="221"/>
      <c r="L48" s="221"/>
      <c r="M48" s="221"/>
      <c r="N48" s="221"/>
      <c r="O48" s="221"/>
    </row>
    <row r="49" spans="1:15" s="218" customFormat="1" ht="18.75" thickBot="1">
      <c r="A49" s="499"/>
      <c r="B49" s="403"/>
      <c r="C49" s="546"/>
      <c r="D49" s="223"/>
      <c r="E49" s="863"/>
      <c r="F49" s="864"/>
      <c r="H49" s="232"/>
      <c r="I49" s="219"/>
      <c r="K49" s="221"/>
      <c r="L49" s="221"/>
      <c r="M49" s="221"/>
      <c r="N49" s="221"/>
      <c r="O49" s="221"/>
    </row>
    <row r="50" spans="1:15" s="218" customFormat="1" ht="18">
      <c r="A50" s="408" t="s">
        <v>393</v>
      </c>
      <c r="B50" s="409" t="s">
        <v>394</v>
      </c>
      <c r="C50" s="497"/>
      <c r="D50" s="498"/>
      <c r="E50" s="859"/>
      <c r="F50" s="860"/>
      <c r="H50" s="232"/>
      <c r="I50" s="219"/>
      <c r="K50" s="221"/>
      <c r="L50" s="221"/>
      <c r="M50" s="221"/>
      <c r="N50" s="221"/>
      <c r="O50" s="221"/>
    </row>
    <row r="51" spans="1:15" s="218" customFormat="1" ht="18">
      <c r="A51" s="411" t="s">
        <v>395</v>
      </c>
      <c r="B51" s="407" t="s">
        <v>396</v>
      </c>
      <c r="C51" s="544" t="s">
        <v>9</v>
      </c>
      <c r="D51" s="224">
        <f>ROUND(34.8*0.07,0)</f>
        <v>2</v>
      </c>
      <c r="E51" s="861" t="s">
        <v>443</v>
      </c>
      <c r="F51" s="862"/>
      <c r="H51" s="232"/>
      <c r="I51" s="219"/>
      <c r="K51" s="221"/>
      <c r="L51" s="221"/>
      <c r="M51" s="221"/>
      <c r="N51" s="221"/>
      <c r="O51" s="221"/>
    </row>
    <row r="52" spans="1:15" s="218" customFormat="1" ht="18">
      <c r="A52" s="411" t="s">
        <v>397</v>
      </c>
      <c r="B52" s="407" t="s">
        <v>398</v>
      </c>
      <c r="C52" s="544" t="s">
        <v>3</v>
      </c>
      <c r="D52" s="224">
        <f>ROUNDUP(0.6*0.6*6,1)</f>
        <v>2.2</v>
      </c>
      <c r="E52" s="861" t="s">
        <v>444</v>
      </c>
      <c r="F52" s="862"/>
      <c r="H52" s="232"/>
      <c r="I52" s="219"/>
      <c r="K52" s="221"/>
      <c r="L52" s="221"/>
      <c r="M52" s="221"/>
      <c r="N52" s="221"/>
      <c r="O52" s="221"/>
    </row>
    <row r="53" spans="1:15" s="218" customFormat="1" ht="18">
      <c r="A53" s="411" t="s">
        <v>399</v>
      </c>
      <c r="B53" s="407" t="s">
        <v>400</v>
      </c>
      <c r="C53" s="544" t="s">
        <v>3</v>
      </c>
      <c r="D53" s="224">
        <f>ROUNDUP(0.039*6,1)</f>
        <v>0.30000000000000004</v>
      </c>
      <c r="E53" s="861" t="s">
        <v>445</v>
      </c>
      <c r="F53" s="862"/>
      <c r="H53" s="232"/>
      <c r="I53" s="219"/>
      <c r="K53" s="221"/>
      <c r="L53" s="221"/>
      <c r="M53" s="221"/>
      <c r="N53" s="221"/>
      <c r="O53" s="221"/>
    </row>
    <row r="54" spans="1:15" s="218" customFormat="1" ht="18.75" thickBot="1">
      <c r="A54" s="499"/>
      <c r="B54" s="403"/>
      <c r="C54" s="546"/>
      <c r="D54" s="707"/>
      <c r="E54" s="874"/>
      <c r="F54" s="875"/>
      <c r="H54" s="232"/>
      <c r="I54" s="219"/>
      <c r="K54" s="221"/>
      <c r="L54" s="221"/>
      <c r="M54" s="221"/>
      <c r="N54" s="221"/>
      <c r="O54" s="221"/>
    </row>
    <row r="55" spans="1:15" s="218" customFormat="1" ht="18">
      <c r="A55" s="408" t="s">
        <v>401</v>
      </c>
      <c r="B55" s="409" t="s">
        <v>447</v>
      </c>
      <c r="C55" s="708"/>
      <c r="D55" s="498"/>
      <c r="E55" s="859"/>
      <c r="F55" s="860"/>
      <c r="H55" s="232"/>
      <c r="I55" s="219"/>
      <c r="K55" s="221"/>
      <c r="L55" s="221"/>
      <c r="M55" s="221"/>
      <c r="N55" s="221"/>
      <c r="O55" s="221"/>
    </row>
    <row r="56" spans="1:15" s="218" customFormat="1" ht="18">
      <c r="A56" s="411" t="s">
        <v>402</v>
      </c>
      <c r="B56" s="407" t="s">
        <v>448</v>
      </c>
      <c r="C56" s="705" t="s">
        <v>3</v>
      </c>
      <c r="D56" s="224">
        <v>49</v>
      </c>
      <c r="E56" s="861" t="s">
        <v>450</v>
      </c>
      <c r="F56" s="862"/>
      <c r="H56" s="232"/>
      <c r="I56" s="219"/>
      <c r="K56" s="221"/>
      <c r="L56" s="221"/>
      <c r="M56" s="221"/>
      <c r="N56" s="221"/>
      <c r="O56" s="221"/>
    </row>
    <row r="57" spans="1:15" s="218" customFormat="1" ht="18">
      <c r="A57" s="411" t="s">
        <v>403</v>
      </c>
      <c r="B57" s="407" t="s">
        <v>449</v>
      </c>
      <c r="C57" s="705" t="s">
        <v>360</v>
      </c>
      <c r="D57" s="224">
        <f>ROUNDUP((0.9*7)*2.4,0)</f>
        <v>16</v>
      </c>
      <c r="E57" s="861" t="s">
        <v>451</v>
      </c>
      <c r="F57" s="862"/>
      <c r="H57" s="232"/>
      <c r="I57" s="219"/>
      <c r="K57" s="221"/>
      <c r="L57" s="221"/>
      <c r="M57" s="221"/>
      <c r="N57" s="221"/>
      <c r="O57" s="221"/>
    </row>
    <row r="58" spans="1:15" s="218" customFormat="1" ht="18.75" thickBot="1">
      <c r="A58" s="499"/>
      <c r="B58" s="403"/>
      <c r="C58" s="403"/>
      <c r="D58" s="223"/>
      <c r="E58" s="863"/>
      <c r="F58" s="864"/>
      <c r="H58" s="232"/>
      <c r="I58" s="219"/>
      <c r="K58" s="221"/>
      <c r="L58" s="221"/>
      <c r="M58" s="221"/>
      <c r="N58" s="221"/>
      <c r="O58" s="221"/>
    </row>
    <row r="59" spans="1:15" s="218" customFormat="1" ht="18">
      <c r="A59" s="693" t="s">
        <v>452</v>
      </c>
      <c r="B59" s="409" t="s">
        <v>302</v>
      </c>
      <c r="C59" s="694"/>
      <c r="D59" s="695"/>
      <c r="E59" s="859"/>
      <c r="F59" s="860"/>
      <c r="G59" s="233"/>
      <c r="H59" s="233"/>
      <c r="I59" s="219"/>
      <c r="K59" s="221"/>
      <c r="L59" s="221"/>
      <c r="M59" s="221"/>
      <c r="N59" s="221"/>
      <c r="O59" s="221"/>
    </row>
    <row r="60" spans="1:15" s="218" customFormat="1" ht="18">
      <c r="A60" s="411" t="s">
        <v>453</v>
      </c>
      <c r="B60" s="461" t="s">
        <v>366</v>
      </c>
      <c r="C60" s="705" t="s">
        <v>3</v>
      </c>
      <c r="D60" s="231">
        <v>53.8</v>
      </c>
      <c r="E60" s="861" t="s">
        <v>313</v>
      </c>
      <c r="F60" s="862"/>
      <c r="G60" s="233"/>
      <c r="H60" s="233"/>
      <c r="I60" s="219"/>
      <c r="K60" s="221"/>
      <c r="L60" s="221"/>
      <c r="M60" s="221"/>
      <c r="N60" s="221"/>
      <c r="O60" s="221"/>
    </row>
    <row r="61" spans="1:15" s="218" customFormat="1" ht="18">
      <c r="A61" s="411" t="s">
        <v>454</v>
      </c>
      <c r="B61" s="461" t="s">
        <v>370</v>
      </c>
      <c r="C61" s="705" t="s">
        <v>3</v>
      </c>
      <c r="D61" s="231">
        <f>ROUNDUP(617*0.12,1)</f>
        <v>74.1</v>
      </c>
      <c r="E61" s="861" t="s">
        <v>460</v>
      </c>
      <c r="F61" s="862"/>
      <c r="G61" s="233"/>
      <c r="H61" s="233"/>
      <c r="I61" s="219"/>
      <c r="K61" s="221"/>
      <c r="L61" s="221"/>
      <c r="M61" s="221"/>
      <c r="N61" s="221"/>
      <c r="O61" s="221"/>
    </row>
    <row r="62" spans="1:15" s="218" customFormat="1" ht="18">
      <c r="A62" s="411" t="s">
        <v>455</v>
      </c>
      <c r="B62" s="461" t="s">
        <v>371</v>
      </c>
      <c r="C62" s="705" t="s">
        <v>3</v>
      </c>
      <c r="D62" s="256">
        <f>ROUNDUP(318*0.12,1)</f>
        <v>38.2</v>
      </c>
      <c r="E62" s="861" t="s">
        <v>459</v>
      </c>
      <c r="F62" s="862"/>
      <c r="G62" s="233"/>
      <c r="H62" s="233"/>
      <c r="I62" s="219"/>
      <c r="K62" s="221"/>
      <c r="L62" s="221"/>
      <c r="M62" s="221"/>
      <c r="N62" s="221"/>
      <c r="O62" s="221"/>
    </row>
    <row r="63" spans="1:15" s="218" customFormat="1" ht="18">
      <c r="A63" s="411" t="s">
        <v>456</v>
      </c>
      <c r="B63" s="407" t="s">
        <v>311</v>
      </c>
      <c r="C63" s="705" t="s">
        <v>4</v>
      </c>
      <c r="D63" s="256">
        <v>3</v>
      </c>
      <c r="E63" s="861" t="s">
        <v>313</v>
      </c>
      <c r="F63" s="862"/>
      <c r="G63" s="233"/>
      <c r="H63" s="233"/>
      <c r="I63" s="219"/>
      <c r="K63" s="221"/>
      <c r="L63" s="221"/>
      <c r="M63" s="221"/>
      <c r="N63" s="221"/>
      <c r="O63" s="221"/>
    </row>
    <row r="64" spans="1:15" s="218" customFormat="1" ht="18">
      <c r="A64" s="411" t="s">
        <v>457</v>
      </c>
      <c r="B64" s="461" t="s">
        <v>373</v>
      </c>
      <c r="C64" s="705" t="s">
        <v>4</v>
      </c>
      <c r="D64" s="256">
        <v>6</v>
      </c>
      <c r="E64" s="861" t="s">
        <v>313</v>
      </c>
      <c r="F64" s="862"/>
      <c r="G64" s="233"/>
      <c r="H64" s="233"/>
      <c r="I64" s="219"/>
      <c r="K64" s="221"/>
      <c r="L64" s="221"/>
      <c r="M64" s="221"/>
      <c r="N64" s="221"/>
      <c r="O64" s="221"/>
    </row>
    <row r="65" spans="1:15" s="218" customFormat="1" ht="18">
      <c r="A65" s="411" t="s">
        <v>458</v>
      </c>
      <c r="B65" s="407" t="s">
        <v>462</v>
      </c>
      <c r="C65" s="705" t="s">
        <v>4</v>
      </c>
      <c r="D65" s="256">
        <v>2</v>
      </c>
      <c r="E65" s="861" t="s">
        <v>313</v>
      </c>
      <c r="F65" s="862"/>
      <c r="G65" s="233"/>
      <c r="H65" s="233"/>
      <c r="I65" s="219"/>
      <c r="K65" s="221"/>
      <c r="L65" s="221"/>
      <c r="M65" s="221"/>
      <c r="N65" s="221"/>
      <c r="O65" s="221"/>
    </row>
    <row r="66" spans="1:15" s="218" customFormat="1" ht="18.75" thickBot="1">
      <c r="A66" s="411" t="s">
        <v>461</v>
      </c>
      <c r="B66" s="413" t="s">
        <v>312</v>
      </c>
      <c r="C66" s="706" t="s">
        <v>4</v>
      </c>
      <c r="D66" s="226">
        <v>3</v>
      </c>
      <c r="E66" s="921" t="s">
        <v>313</v>
      </c>
      <c r="F66" s="922"/>
      <c r="G66" s="233"/>
      <c r="H66" s="233"/>
      <c r="I66" s="219"/>
      <c r="K66" s="221"/>
      <c r="L66" s="221"/>
      <c r="M66" s="221"/>
      <c r="N66" s="221"/>
      <c r="O66" s="221"/>
    </row>
    <row r="67" spans="1:15" s="227" customFormat="1" ht="16.5" thickBot="1">
      <c r="A67" s="629"/>
      <c r="B67" s="236"/>
      <c r="C67" s="237"/>
      <c r="D67" s="238"/>
      <c r="E67" s="239"/>
      <c r="F67" s="630"/>
      <c r="I67" s="228"/>
      <c r="K67" s="229"/>
      <c r="L67" s="228"/>
      <c r="M67" s="230"/>
      <c r="N67" s="230"/>
      <c r="O67" s="228"/>
    </row>
    <row r="68" spans="1:15" s="227" customFormat="1" ht="15.75">
      <c r="A68" s="910" t="str">
        <f>'dados de entrada'!B15</f>
        <v>PREFEITURA MUNICIPAL DE BOMBINHAS</v>
      </c>
      <c r="B68" s="911"/>
      <c r="C68" s="883" t="s">
        <v>200</v>
      </c>
      <c r="D68" s="884"/>
      <c r="E68" s="884"/>
      <c r="F68" s="917"/>
      <c r="G68" s="210"/>
      <c r="H68" s="210"/>
      <c r="I68" s="228"/>
      <c r="K68" s="229"/>
      <c r="L68" s="228"/>
      <c r="M68" s="230"/>
      <c r="N68" s="230"/>
      <c r="O68" s="228"/>
    </row>
    <row r="69" spans="1:15" s="227" customFormat="1" ht="15.75">
      <c r="A69" s="853"/>
      <c r="B69" s="855"/>
      <c r="C69" s="856"/>
      <c r="D69" s="857"/>
      <c r="E69" s="857"/>
      <c r="F69" s="858"/>
      <c r="G69" s="240"/>
      <c r="H69" s="240"/>
      <c r="I69" s="228"/>
      <c r="K69" s="229"/>
      <c r="L69" s="228"/>
      <c r="M69" s="230"/>
      <c r="N69" s="230"/>
      <c r="O69" s="228"/>
    </row>
    <row r="70" spans="1:15" s="227" customFormat="1" ht="15.75" customHeight="1">
      <c r="A70" s="853"/>
      <c r="B70" s="855"/>
      <c r="C70" s="880" t="s">
        <v>213</v>
      </c>
      <c r="D70" s="881"/>
      <c r="E70" s="881"/>
      <c r="F70" s="882"/>
      <c r="G70" s="241"/>
      <c r="H70" s="242"/>
      <c r="I70" s="228"/>
      <c r="K70" s="229"/>
      <c r="L70" s="228"/>
      <c r="M70" s="230"/>
      <c r="N70" s="230"/>
      <c r="O70" s="228"/>
    </row>
    <row r="71" spans="1:15" s="227" customFormat="1" ht="15.75">
      <c r="A71" s="853"/>
      <c r="B71" s="855"/>
      <c r="C71" s="900" t="s">
        <v>210</v>
      </c>
      <c r="D71" s="901"/>
      <c r="E71" s="901"/>
      <c r="F71" s="902"/>
      <c r="G71" s="243"/>
      <c r="H71" s="244"/>
      <c r="I71" s="228"/>
      <c r="K71" s="229"/>
      <c r="L71" s="228"/>
      <c r="M71" s="230"/>
      <c r="N71" s="230"/>
      <c r="O71" s="228"/>
    </row>
    <row r="72" spans="1:15" s="227" customFormat="1" ht="15.75">
      <c r="A72" s="853"/>
      <c r="B72" s="855"/>
      <c r="C72" s="856"/>
      <c r="D72" s="857"/>
      <c r="E72" s="857"/>
      <c r="F72" s="858"/>
      <c r="G72" s="245"/>
      <c r="H72" s="245"/>
      <c r="I72" s="228"/>
      <c r="K72" s="229"/>
      <c r="L72" s="228"/>
      <c r="M72" s="230"/>
      <c r="N72" s="230"/>
      <c r="O72" s="228"/>
    </row>
    <row r="73" spans="1:15" s="227" customFormat="1" ht="15.75">
      <c r="A73" s="853"/>
      <c r="B73" s="855"/>
      <c r="C73" s="856"/>
      <c r="D73" s="857"/>
      <c r="E73" s="857"/>
      <c r="F73" s="858"/>
      <c r="G73" s="245"/>
      <c r="H73" s="245"/>
      <c r="I73" s="228"/>
      <c r="K73" s="229"/>
      <c r="L73" s="228"/>
      <c r="M73" s="230"/>
      <c r="N73" s="230"/>
      <c r="O73" s="228"/>
    </row>
    <row r="74" spans="1:15" s="227" customFormat="1" ht="15.75">
      <c r="A74" s="853"/>
      <c r="B74" s="855"/>
      <c r="C74" s="856"/>
      <c r="D74" s="857"/>
      <c r="E74" s="857"/>
      <c r="F74" s="858"/>
      <c r="G74" s="245"/>
      <c r="H74" s="245"/>
      <c r="I74" s="228"/>
      <c r="K74" s="229"/>
      <c r="L74" s="228"/>
      <c r="M74" s="230"/>
      <c r="N74" s="230"/>
      <c r="O74" s="228"/>
    </row>
    <row r="75" spans="1:15" s="227" customFormat="1" ht="15.75">
      <c r="A75" s="853" t="s">
        <v>201</v>
      </c>
      <c r="B75" s="855"/>
      <c r="C75" s="853" t="s">
        <v>202</v>
      </c>
      <c r="D75" s="854"/>
      <c r="E75" s="854"/>
      <c r="F75" s="855"/>
      <c r="G75" s="210"/>
      <c r="H75" s="210"/>
      <c r="I75" s="228"/>
      <c r="K75" s="229"/>
      <c r="L75" s="228"/>
      <c r="M75" s="230"/>
      <c r="N75" s="230"/>
      <c r="O75" s="228"/>
    </row>
    <row r="76" spans="1:15" s="227" customFormat="1" ht="16.5">
      <c r="A76" s="904" t="str">
        <f>'dados de entrada'!B5</f>
        <v>Ana Paula da Silva</v>
      </c>
      <c r="B76" s="906"/>
      <c r="C76" s="904" t="str">
        <f>'dados de entrada'!B6</f>
        <v>Carlos Alberto Bley  </v>
      </c>
      <c r="D76" s="905"/>
      <c r="E76" s="905"/>
      <c r="F76" s="906"/>
      <c r="G76" s="246"/>
      <c r="H76" s="246"/>
      <c r="I76" s="228"/>
      <c r="K76" s="229"/>
      <c r="L76" s="228"/>
      <c r="M76" s="230"/>
      <c r="N76" s="230"/>
      <c r="O76" s="228"/>
    </row>
    <row r="77" spans="1:15" s="227" customFormat="1" ht="16.5" thickBot="1">
      <c r="A77" s="907" t="s">
        <v>345</v>
      </c>
      <c r="B77" s="908"/>
      <c r="C77" s="876" t="str">
        <f>'dados de entrada'!B17</f>
        <v>Engenheiro Civil - CREA SC 8.333-3</v>
      </c>
      <c r="D77" s="877"/>
      <c r="E77" s="877"/>
      <c r="F77" s="878"/>
      <c r="G77" s="247"/>
      <c r="H77" s="247"/>
      <c r="I77" s="228"/>
      <c r="K77" s="229"/>
      <c r="L77" s="228"/>
      <c r="M77" s="230"/>
      <c r="N77" s="230"/>
      <c r="O77" s="228"/>
    </row>
    <row r="78" spans="1:15" s="227" customFormat="1" ht="15.75">
      <c r="A78" s="235"/>
      <c r="B78" s="236"/>
      <c r="C78" s="237"/>
      <c r="D78" s="238"/>
      <c r="E78" s="239"/>
      <c r="F78" s="239"/>
      <c r="G78" s="248"/>
      <c r="H78" s="248"/>
      <c r="I78" s="228"/>
      <c r="K78" s="229"/>
      <c r="L78" s="228"/>
      <c r="M78" s="230"/>
      <c r="N78" s="230"/>
      <c r="O78" s="228"/>
    </row>
    <row r="79" spans="1:15" s="227" customFormat="1" ht="15.75">
      <c r="A79" s="235"/>
      <c r="B79" s="236"/>
      <c r="C79" s="237"/>
      <c r="D79" s="238"/>
      <c r="E79" s="239"/>
      <c r="F79" s="239"/>
      <c r="I79" s="228"/>
      <c r="K79" s="229"/>
      <c r="L79" s="228"/>
      <c r="M79" s="230"/>
      <c r="N79" s="230"/>
      <c r="O79" s="228"/>
    </row>
    <row r="80" spans="1:15" s="11" customFormat="1" ht="15.75">
      <c r="A80" s="99"/>
      <c r="B80" s="186"/>
      <c r="C80" s="187"/>
      <c r="D80" s="188"/>
      <c r="E80" s="189"/>
      <c r="F80" s="189"/>
      <c r="I80" s="12"/>
      <c r="K80" s="17"/>
      <c r="L80" s="12"/>
      <c r="M80" s="15"/>
      <c r="N80" s="15"/>
      <c r="O80" s="12"/>
    </row>
    <row r="81" spans="1:15" s="11" customFormat="1" ht="15.75">
      <c r="A81" s="99"/>
      <c r="B81" s="186"/>
      <c r="C81" s="187"/>
      <c r="D81" s="188"/>
      <c r="E81" s="189"/>
      <c r="F81" s="189"/>
      <c r="I81" s="12"/>
      <c r="K81" s="17"/>
      <c r="L81" s="12"/>
      <c r="M81" s="15"/>
      <c r="N81" s="15"/>
      <c r="O81" s="12"/>
    </row>
    <row r="82" spans="1:15" s="11" customFormat="1" ht="15.75">
      <c r="A82" s="99"/>
      <c r="B82" s="186"/>
      <c r="C82" s="187"/>
      <c r="D82" s="188"/>
      <c r="E82" s="189"/>
      <c r="F82" s="189"/>
      <c r="I82" s="12"/>
      <c r="K82" s="17"/>
      <c r="L82" s="12"/>
      <c r="M82" s="15"/>
      <c r="N82" s="15"/>
      <c r="O82" s="12"/>
    </row>
    <row r="83" spans="1:15" s="11" customFormat="1" ht="15.75">
      <c r="A83" s="99"/>
      <c r="B83" s="186"/>
      <c r="C83" s="187"/>
      <c r="D83" s="188"/>
      <c r="E83" s="189"/>
      <c r="F83" s="189"/>
      <c r="I83" s="12"/>
      <c r="K83" s="17"/>
      <c r="L83" s="12"/>
      <c r="M83" s="15"/>
      <c r="N83" s="15"/>
      <c r="O83" s="12"/>
    </row>
    <row r="84" spans="1:15" s="11" customFormat="1" ht="15.75">
      <c r="A84" s="99"/>
      <c r="B84" s="186"/>
      <c r="C84" s="187"/>
      <c r="D84" s="188"/>
      <c r="E84" s="189"/>
      <c r="F84" s="189"/>
      <c r="I84" s="12"/>
      <c r="K84" s="17"/>
      <c r="L84" s="12"/>
      <c r="M84" s="15"/>
      <c r="N84" s="15"/>
      <c r="O84" s="12"/>
    </row>
    <row r="85" spans="1:15" s="11" customFormat="1" ht="15.75">
      <c r="A85" s="99"/>
      <c r="B85" s="186"/>
      <c r="C85" s="187"/>
      <c r="D85" s="188"/>
      <c r="E85" s="189"/>
      <c r="F85" s="189"/>
      <c r="I85" s="12"/>
      <c r="K85" s="17"/>
      <c r="L85" s="12"/>
      <c r="M85" s="15"/>
      <c r="N85" s="15"/>
      <c r="O85" s="12"/>
    </row>
    <row r="86" spans="1:15" s="11" customFormat="1" ht="15.75">
      <c r="A86" s="99"/>
      <c r="B86" s="186"/>
      <c r="C86" s="187"/>
      <c r="D86" s="188"/>
      <c r="E86" s="189"/>
      <c r="F86" s="189"/>
      <c r="I86" s="12"/>
      <c r="K86" s="17"/>
      <c r="L86" s="12"/>
      <c r="M86" s="15"/>
      <c r="N86" s="15"/>
      <c r="O86" s="12"/>
    </row>
    <row r="87" spans="1:15" s="11" customFormat="1" ht="15.75">
      <c r="A87" s="99"/>
      <c r="B87" s="186"/>
      <c r="C87" s="187"/>
      <c r="D87" s="188"/>
      <c r="E87" s="189"/>
      <c r="F87" s="189"/>
      <c r="I87" s="12"/>
      <c r="K87" s="17"/>
      <c r="L87" s="12"/>
      <c r="M87" s="15"/>
      <c r="N87" s="15"/>
      <c r="O87" s="12"/>
    </row>
    <row r="88" spans="1:15" s="11" customFormat="1" ht="15.75">
      <c r="A88" s="99"/>
      <c r="B88" s="186"/>
      <c r="C88" s="187"/>
      <c r="D88" s="188"/>
      <c r="E88" s="189"/>
      <c r="F88" s="189"/>
      <c r="I88" s="12"/>
      <c r="K88" s="17"/>
      <c r="L88" s="12"/>
      <c r="M88" s="15"/>
      <c r="N88" s="15"/>
      <c r="O88" s="12"/>
    </row>
    <row r="89" spans="1:15" s="11" customFormat="1" ht="15.75">
      <c r="A89" s="99"/>
      <c r="B89" s="186"/>
      <c r="C89" s="187"/>
      <c r="D89" s="188"/>
      <c r="E89" s="189"/>
      <c r="F89" s="189"/>
      <c r="I89" s="12"/>
      <c r="K89" s="17"/>
      <c r="L89" s="12"/>
      <c r="M89" s="15"/>
      <c r="N89" s="15"/>
      <c r="O89" s="12"/>
    </row>
    <row r="90" spans="1:15" s="11" customFormat="1" ht="15.75">
      <c r="A90" s="99"/>
      <c r="B90" s="186"/>
      <c r="C90" s="187"/>
      <c r="D90" s="188"/>
      <c r="E90" s="189"/>
      <c r="F90" s="189"/>
      <c r="I90" s="12"/>
      <c r="K90" s="17"/>
      <c r="L90" s="12"/>
      <c r="M90" s="15"/>
      <c r="N90" s="15"/>
      <c r="O90" s="12"/>
    </row>
    <row r="91" spans="1:15" s="3" customFormat="1" ht="16.5" thickBot="1">
      <c r="A91" s="909"/>
      <c r="B91" s="909"/>
      <c r="C91" s="19"/>
      <c r="D91" s="62"/>
      <c r="E91" s="20"/>
      <c r="F91" s="21"/>
      <c r="K91" s="16"/>
      <c r="L91" s="7"/>
      <c r="M91" s="13"/>
      <c r="N91" s="13"/>
      <c r="O91" s="7"/>
    </row>
    <row r="92" spans="1:6" ht="12.75">
      <c r="A92" s="879" t="s">
        <v>11</v>
      </c>
      <c r="B92" s="868"/>
      <c r="C92" s="866" t="s">
        <v>12</v>
      </c>
      <c r="D92" s="867"/>
      <c r="E92" s="868"/>
      <c r="F92" s="1" t="s">
        <v>13</v>
      </c>
    </row>
    <row r="93" spans="1:15" ht="12.75">
      <c r="A93" s="893"/>
      <c r="B93" s="894"/>
      <c r="C93" s="869" t="s">
        <v>14</v>
      </c>
      <c r="D93" s="870"/>
      <c r="E93" s="871"/>
      <c r="F93" s="865">
        <f>'dados de entrada'!B3</f>
        <v>41699</v>
      </c>
      <c r="K93"/>
      <c r="L93"/>
      <c r="M93"/>
      <c r="N93"/>
      <c r="O93"/>
    </row>
    <row r="94" spans="1:15" ht="12.75">
      <c r="A94" s="893"/>
      <c r="B94" s="894"/>
      <c r="C94" s="869"/>
      <c r="D94" s="870"/>
      <c r="E94" s="871"/>
      <c r="F94" s="865"/>
      <c r="K94"/>
      <c r="L94"/>
      <c r="M94"/>
      <c r="N94"/>
      <c r="O94"/>
    </row>
    <row r="95" spans="1:15" ht="12.75">
      <c r="A95" s="893"/>
      <c r="B95" s="894"/>
      <c r="C95" s="869"/>
      <c r="D95" s="870"/>
      <c r="E95" s="871"/>
      <c r="F95" s="865"/>
      <c r="K95"/>
      <c r="L95"/>
      <c r="M95"/>
      <c r="N95"/>
      <c r="O95"/>
    </row>
    <row r="96" spans="1:15" ht="34.5" customHeight="1">
      <c r="A96" s="893"/>
      <c r="B96" s="894"/>
      <c r="C96" s="869"/>
      <c r="D96" s="870"/>
      <c r="E96" s="871"/>
      <c r="F96" s="865"/>
      <c r="K96"/>
      <c r="L96"/>
      <c r="M96"/>
      <c r="N96"/>
      <c r="O96"/>
    </row>
    <row r="97" spans="1:15" ht="12.75">
      <c r="A97" s="893"/>
      <c r="B97" s="894"/>
      <c r="C97" s="869"/>
      <c r="D97" s="870"/>
      <c r="E97" s="871"/>
      <c r="F97" s="865"/>
      <c r="K97"/>
      <c r="L97"/>
      <c r="M97"/>
      <c r="N97"/>
      <c r="O97"/>
    </row>
    <row r="98" spans="1:15" ht="13.5" thickBot="1">
      <c r="A98" s="891" t="str">
        <f>'dados de entrada'!B17</f>
        <v>Engenheiro Civil - CREA SC 8.333-3</v>
      </c>
      <c r="B98" s="892"/>
      <c r="C98" s="850"/>
      <c r="D98" s="851"/>
      <c r="E98" s="852"/>
      <c r="F98" s="4"/>
      <c r="K98"/>
      <c r="L98"/>
      <c r="M98"/>
      <c r="N98"/>
      <c r="O98"/>
    </row>
    <row r="99" spans="1:15" ht="12.75">
      <c r="A99" s="879" t="s">
        <v>15</v>
      </c>
      <c r="B99" s="868"/>
      <c r="C99" s="866" t="s">
        <v>12</v>
      </c>
      <c r="D99" s="867"/>
      <c r="E99" s="868"/>
      <c r="F99" s="5"/>
      <c r="K99"/>
      <c r="L99"/>
      <c r="M99"/>
      <c r="N99"/>
      <c r="O99"/>
    </row>
    <row r="100" spans="1:15" ht="12.75" customHeight="1">
      <c r="A100" s="183"/>
      <c r="B100" s="184"/>
      <c r="C100" s="869" t="s">
        <v>14</v>
      </c>
      <c r="D100" s="870"/>
      <c r="E100" s="871"/>
      <c r="F100" s="865">
        <f>'dados de entrada'!B3</f>
        <v>41699</v>
      </c>
      <c r="K100"/>
      <c r="L100"/>
      <c r="M100"/>
      <c r="N100"/>
      <c r="O100"/>
    </row>
    <row r="101" spans="1:15" ht="12.75" customHeight="1">
      <c r="A101" s="183"/>
      <c r="B101" s="184"/>
      <c r="C101" s="869"/>
      <c r="D101" s="870"/>
      <c r="E101" s="871"/>
      <c r="F101" s="865"/>
      <c r="K101"/>
      <c r="L101"/>
      <c r="M101"/>
      <c r="N101"/>
      <c r="O101"/>
    </row>
    <row r="102" spans="1:15" ht="12.75" customHeight="1">
      <c r="A102" s="183"/>
      <c r="B102" s="184"/>
      <c r="C102" s="869"/>
      <c r="D102" s="870"/>
      <c r="E102" s="871"/>
      <c r="F102" s="865"/>
      <c r="K102"/>
      <c r="L102"/>
      <c r="M102"/>
      <c r="N102"/>
      <c r="O102"/>
    </row>
    <row r="103" spans="1:15" ht="39" customHeight="1">
      <c r="A103" s="183"/>
      <c r="B103" s="184"/>
      <c r="C103" s="869"/>
      <c r="D103" s="870"/>
      <c r="E103" s="871"/>
      <c r="F103" s="865"/>
      <c r="K103"/>
      <c r="L103"/>
      <c r="M103"/>
      <c r="N103"/>
      <c r="O103"/>
    </row>
    <row r="104" spans="1:15" ht="12.75" customHeight="1">
      <c r="A104" s="893" t="str">
        <f>'dados de entrada'!B5</f>
        <v>Ana Paula da Silva</v>
      </c>
      <c r="B104" s="894"/>
      <c r="C104" s="869"/>
      <c r="D104" s="870"/>
      <c r="E104" s="871"/>
      <c r="F104" s="865"/>
      <c r="K104"/>
      <c r="L104"/>
      <c r="M104"/>
      <c r="N104"/>
      <c r="O104"/>
    </row>
    <row r="105" spans="1:15" ht="13.5" thickBot="1">
      <c r="A105" s="891" t="s">
        <v>16</v>
      </c>
      <c r="B105" s="892"/>
      <c r="C105" s="850"/>
      <c r="D105" s="851"/>
      <c r="E105" s="852"/>
      <c r="F105" s="2"/>
      <c r="K105"/>
      <c r="L105"/>
      <c r="M105"/>
      <c r="N105"/>
      <c r="O105"/>
    </row>
  </sheetData>
  <sheetProtection/>
  <mergeCells count="106">
    <mergeCell ref="E18:F18"/>
    <mergeCell ref="E20:F20"/>
    <mergeCell ref="E22:F22"/>
    <mergeCell ref="E19:F19"/>
    <mergeCell ref="E27:F27"/>
    <mergeCell ref="E26:F26"/>
    <mergeCell ref="A7:D7"/>
    <mergeCell ref="E14:F14"/>
    <mergeCell ref="E45:F45"/>
    <mergeCell ref="E48:F48"/>
    <mergeCell ref="E49:F49"/>
    <mergeCell ref="I25:I27"/>
    <mergeCell ref="D23:D25"/>
    <mergeCell ref="E29:F29"/>
    <mergeCell ref="E33:F33"/>
    <mergeCell ref="E38:F38"/>
    <mergeCell ref="E41:F41"/>
    <mergeCell ref="E44:F44"/>
    <mergeCell ref="E50:F50"/>
    <mergeCell ref="E43:F43"/>
    <mergeCell ref="E13:F13"/>
    <mergeCell ref="A2:F2"/>
    <mergeCell ref="E11:F11"/>
    <mergeCell ref="E16:F16"/>
    <mergeCell ref="E6:F6"/>
    <mergeCell ref="E5:F5"/>
    <mergeCell ref="B5:D5"/>
    <mergeCell ref="E15:F15"/>
    <mergeCell ref="A4:B4"/>
    <mergeCell ref="E30:F30"/>
    <mergeCell ref="E66:F66"/>
    <mergeCell ref="A23:A25"/>
    <mergeCell ref="B23:B25"/>
    <mergeCell ref="E37:F37"/>
    <mergeCell ref="E51:F51"/>
    <mergeCell ref="E39:F39"/>
    <mergeCell ref="A69:B69"/>
    <mergeCell ref="C69:F69"/>
    <mergeCell ref="E64:F64"/>
    <mergeCell ref="A70:B70"/>
    <mergeCell ref="A73:B73"/>
    <mergeCell ref="A1:F1"/>
    <mergeCell ref="E35:F35"/>
    <mergeCell ref="C8:F8"/>
    <mergeCell ref="C68:F68"/>
    <mergeCell ref="E21:F21"/>
    <mergeCell ref="A93:B97"/>
    <mergeCell ref="C23:C25"/>
    <mergeCell ref="E32:F32"/>
    <mergeCell ref="E31:F31"/>
    <mergeCell ref="C76:F76"/>
    <mergeCell ref="A76:B76"/>
    <mergeCell ref="A77:B77"/>
    <mergeCell ref="E63:F63"/>
    <mergeCell ref="A91:B91"/>
    <mergeCell ref="C93:E97"/>
    <mergeCell ref="A105:B105"/>
    <mergeCell ref="A98:B98"/>
    <mergeCell ref="A99:B99"/>
    <mergeCell ref="A104:B104"/>
    <mergeCell ref="C99:E99"/>
    <mergeCell ref="K9:O9"/>
    <mergeCell ref="E34:F34"/>
    <mergeCell ref="E9:F9"/>
    <mergeCell ref="E10:F10"/>
    <mergeCell ref="C71:F71"/>
    <mergeCell ref="E17:F17"/>
    <mergeCell ref="E36:F36"/>
    <mergeCell ref="E59:F59"/>
    <mergeCell ref="C70:F70"/>
    <mergeCell ref="A3:B3"/>
    <mergeCell ref="C3:C4"/>
    <mergeCell ref="D3:E4"/>
    <mergeCell ref="E62:F62"/>
    <mergeCell ref="A68:B68"/>
    <mergeCell ref="E60:F60"/>
    <mergeCell ref="A92:B92"/>
    <mergeCell ref="A75:B75"/>
    <mergeCell ref="E47:F47"/>
    <mergeCell ref="E28:F28"/>
    <mergeCell ref="E46:F46"/>
    <mergeCell ref="A72:B72"/>
    <mergeCell ref="C72:F72"/>
    <mergeCell ref="C73:F73"/>
    <mergeCell ref="A74:B74"/>
    <mergeCell ref="A71:B71"/>
    <mergeCell ref="C92:E92"/>
    <mergeCell ref="F93:F97"/>
    <mergeCell ref="C100:E104"/>
    <mergeCell ref="E40:F40"/>
    <mergeCell ref="E42:F42"/>
    <mergeCell ref="E52:F52"/>
    <mergeCell ref="E53:F53"/>
    <mergeCell ref="E54:F54"/>
    <mergeCell ref="C77:F77"/>
    <mergeCell ref="E61:F61"/>
    <mergeCell ref="C105:E105"/>
    <mergeCell ref="C98:E98"/>
    <mergeCell ref="C75:F75"/>
    <mergeCell ref="C74:F74"/>
    <mergeCell ref="E55:F55"/>
    <mergeCell ref="E56:F56"/>
    <mergeCell ref="E57:F57"/>
    <mergeCell ref="E58:F58"/>
    <mergeCell ref="E65:F65"/>
    <mergeCell ref="F100:F104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zoomScale="110" zoomScaleNormal="110" zoomScalePageLayoutView="0" workbookViewId="0" topLeftCell="A44">
      <selection activeCell="J67" sqref="J67:J68"/>
    </sheetView>
  </sheetViews>
  <sheetFormatPr defaultColWidth="9.140625" defaultRowHeight="12.75"/>
  <cols>
    <col min="1" max="1" width="6.57421875" style="0" customWidth="1"/>
    <col min="2" max="2" width="24.28125" style="0" customWidth="1"/>
    <col min="3" max="3" width="92.140625" style="0" customWidth="1"/>
    <col min="4" max="4" width="5.8515625" style="0" customWidth="1"/>
    <col min="5" max="5" width="11.57421875" style="0" customWidth="1"/>
    <col min="6" max="6" width="14.57421875" style="0" customWidth="1"/>
    <col min="7" max="7" width="18.8515625" style="0" bestFit="1" customWidth="1"/>
    <col min="8" max="8" width="12.7109375" style="0" customWidth="1"/>
    <col min="9" max="9" width="12.00390625" style="74" bestFit="1" customWidth="1"/>
    <col min="10" max="10" width="14.00390625" style="0" bestFit="1" customWidth="1"/>
    <col min="11" max="11" width="13.7109375" style="0" bestFit="1" customWidth="1"/>
    <col min="12" max="12" width="6.57421875" style="0" bestFit="1" customWidth="1"/>
    <col min="13" max="13" width="10.421875" style="0" bestFit="1" customWidth="1"/>
    <col min="14" max="14" width="18.57421875" style="0" customWidth="1"/>
    <col min="16" max="16" width="13.28125" style="0" bestFit="1" customWidth="1"/>
  </cols>
  <sheetData>
    <row r="1" spans="1:8" ht="18">
      <c r="A1" s="959" t="s">
        <v>61</v>
      </c>
      <c r="B1" s="960"/>
      <c r="C1" s="960"/>
      <c r="D1" s="960"/>
      <c r="E1" s="960"/>
      <c r="F1" s="960"/>
      <c r="G1" s="960"/>
      <c r="H1" s="961"/>
    </row>
    <row r="2" spans="1:8" ht="26.25" thickBot="1">
      <c r="A2" s="962" t="str">
        <f>'dados de entrada'!B15</f>
        <v>PREFEITURA MUNICIPAL DE BOMBINHAS</v>
      </c>
      <c r="B2" s="963"/>
      <c r="C2" s="963"/>
      <c r="D2" s="963"/>
      <c r="E2" s="963"/>
      <c r="F2" s="963"/>
      <c r="G2" s="963"/>
      <c r="H2" s="964"/>
    </row>
    <row r="3" spans="1:8" ht="12.75">
      <c r="A3" s="879" t="s">
        <v>18</v>
      </c>
      <c r="B3" s="867"/>
      <c r="C3" s="867"/>
      <c r="D3" s="867"/>
      <c r="E3" s="867"/>
      <c r="F3" s="868"/>
      <c r="G3" s="965" t="s">
        <v>112</v>
      </c>
      <c r="H3" s="966"/>
    </row>
    <row r="4" spans="1:9" s="76" customFormat="1" ht="18.75" thickBot="1">
      <c r="A4" s="967" t="str">
        <f>'dados de entrada'!B8</f>
        <v>PAVIMENTAÇÃO ASFÁLTICA E DRENAGEM PLUVIAL</v>
      </c>
      <c r="B4" s="968"/>
      <c r="C4" s="968"/>
      <c r="D4" s="968"/>
      <c r="E4" s="968"/>
      <c r="F4" s="969"/>
      <c r="G4" s="970">
        <f>'dados de entrada'!B3</f>
        <v>41699</v>
      </c>
      <c r="H4" s="971"/>
      <c r="I4" s="75"/>
    </row>
    <row r="5" spans="1:10" ht="13.5" thickBot="1">
      <c r="A5" s="879" t="s">
        <v>196</v>
      </c>
      <c r="B5" s="867"/>
      <c r="C5" s="867"/>
      <c r="D5" s="955" t="s">
        <v>20</v>
      </c>
      <c r="E5" s="956"/>
      <c r="F5" s="957" t="s">
        <v>197</v>
      </c>
      <c r="G5" s="957"/>
      <c r="H5" s="958"/>
      <c r="J5" s="78"/>
    </row>
    <row r="6" spans="1:11" ht="15.75" thickBot="1">
      <c r="A6" s="967" t="str">
        <f>'dados de entrada'!C19</f>
        <v>RUA ILHA DE MARAJÓ - BAIRRO QUATRO ILHAS</v>
      </c>
      <c r="B6" s="968"/>
      <c r="C6" s="968"/>
      <c r="D6" s="976" t="str">
        <f>'dados de entrada'!B9</f>
        <v>SINAPI - 01/01/2014 - COM DESONERAÇÃO - SICRO JAN. 2014</v>
      </c>
      <c r="E6" s="977"/>
      <c r="F6" s="977"/>
      <c r="G6" s="977"/>
      <c r="H6" s="978"/>
      <c r="I6" s="79"/>
      <c r="J6" s="80"/>
      <c r="K6" s="57"/>
    </row>
    <row r="7" spans="1:9" s="82" customFormat="1" ht="15.75" thickBot="1">
      <c r="A7" s="972"/>
      <c r="B7" s="973"/>
      <c r="C7" s="973"/>
      <c r="D7" s="974" t="s">
        <v>379</v>
      </c>
      <c r="E7" s="975"/>
      <c r="F7" s="485" t="str">
        <f>'dados de entrada'!B11</f>
        <v>4.812.441-0</v>
      </c>
      <c r="G7" s="631" t="s">
        <v>294</v>
      </c>
      <c r="H7" s="491">
        <f>K9/100</f>
        <v>0.012373</v>
      </c>
      <c r="I7" s="81"/>
    </row>
    <row r="8" spans="1:9" s="84" customFormat="1" ht="21" thickBot="1">
      <c r="A8" s="953">
        <f>'dados de entrada'!B3</f>
        <v>41699</v>
      </c>
      <c r="B8" s="954"/>
      <c r="C8" s="185" t="s">
        <v>295</v>
      </c>
      <c r="D8" s="202"/>
      <c r="E8" s="951" t="s">
        <v>293</v>
      </c>
      <c r="F8" s="951"/>
      <c r="G8" s="951"/>
      <c r="H8" s="952"/>
      <c r="I8" s="83"/>
    </row>
    <row r="9" spans="1:11" s="9" customFormat="1" ht="16.5" thickBot="1">
      <c r="A9" s="122" t="s">
        <v>0</v>
      </c>
      <c r="B9" s="122" t="s">
        <v>417</v>
      </c>
      <c r="C9" s="415" t="s">
        <v>1</v>
      </c>
      <c r="D9" s="415" t="s">
        <v>2</v>
      </c>
      <c r="E9" s="416" t="s">
        <v>150</v>
      </c>
      <c r="F9" s="417" t="s">
        <v>198</v>
      </c>
      <c r="G9" s="418" t="s">
        <v>151</v>
      </c>
      <c r="H9" s="417" t="s">
        <v>7</v>
      </c>
      <c r="I9" s="85"/>
      <c r="K9" s="86">
        <f>'dados de entrada'!B10+1</f>
        <v>1.2373</v>
      </c>
    </row>
    <row r="10" spans="1:13" s="87" customFormat="1" ht="15">
      <c r="A10" s="424" t="s">
        <v>22</v>
      </c>
      <c r="B10" s="425"/>
      <c r="C10" s="124" t="str">
        <f>'[1]MEMORIAL'!B10</f>
        <v>SERVIÇOS INICIAIS</v>
      </c>
      <c r="D10" s="426"/>
      <c r="E10" s="427"/>
      <c r="F10" s="428"/>
      <c r="G10" s="429">
        <f>SUM(G11:G11)</f>
        <v>1359</v>
      </c>
      <c r="H10" s="440">
        <f>G10/$G$65</f>
        <v>0.0044345971804772375</v>
      </c>
      <c r="I10" s="554"/>
      <c r="J10" s="124" t="s">
        <v>27</v>
      </c>
      <c r="K10" s="125"/>
      <c r="M10" s="88"/>
    </row>
    <row r="11" spans="1:16" s="9" customFormat="1" ht="15">
      <c r="A11" s="510" t="s">
        <v>8</v>
      </c>
      <c r="B11" s="419" t="s">
        <v>155</v>
      </c>
      <c r="C11" s="420" t="str">
        <f>MEMORIAL!B11</f>
        <v>Placa de obra</v>
      </c>
      <c r="D11" s="556" t="str">
        <f>MEMORIAL!C11</f>
        <v>m2</v>
      </c>
      <c r="E11" s="421">
        <f>MEMORIAL!D11</f>
        <v>3</v>
      </c>
      <c r="F11" s="401">
        <f>ROUND(K11*$K$9,2)</f>
        <v>453</v>
      </c>
      <c r="G11" s="401">
        <f>ROUND(E11*F11,2)</f>
        <v>1359</v>
      </c>
      <c r="H11" s="442">
        <f>G11/$G$65</f>
        <v>0.0044345971804772375</v>
      </c>
      <c r="I11" s="555"/>
      <c r="J11" s="471">
        <v>366.12</v>
      </c>
      <c r="K11" s="257">
        <f>I11+J11</f>
        <v>366.12</v>
      </c>
      <c r="L11" s="90"/>
      <c r="M11" s="130"/>
      <c r="N11" s="131"/>
      <c r="O11" s="131"/>
      <c r="P11" s="131"/>
    </row>
    <row r="12" spans="1:16" s="9" customFormat="1" ht="15.75" thickBot="1">
      <c r="A12" s="557"/>
      <c r="B12" s="477"/>
      <c r="C12" s="465"/>
      <c r="D12" s="558"/>
      <c r="E12" s="467"/>
      <c r="F12" s="468"/>
      <c r="G12" s="468"/>
      <c r="H12" s="469"/>
      <c r="I12" s="563"/>
      <c r="J12" s="479"/>
      <c r="K12" s="501"/>
      <c r="L12" s="90"/>
      <c r="M12" s="130"/>
      <c r="N12" s="131"/>
      <c r="O12" s="131"/>
      <c r="P12" s="131"/>
    </row>
    <row r="13" spans="1:16" s="87" customFormat="1" ht="15.75">
      <c r="A13" s="424" t="s">
        <v>165</v>
      </c>
      <c r="B13" s="425"/>
      <c r="C13" s="124" t="str">
        <f>MEMORIAL!B13</f>
        <v>SERVIÇOS EM DRENAGEM PLUVIAL</v>
      </c>
      <c r="D13" s="426"/>
      <c r="E13" s="427"/>
      <c r="F13" s="402"/>
      <c r="G13" s="402">
        <f>SUM(G14:G30)</f>
        <v>101026.47000000002</v>
      </c>
      <c r="H13" s="440">
        <f aca="true" t="shared" si="0" ref="H13:H30">G13/$G$65</f>
        <v>0.3296627660158707</v>
      </c>
      <c r="I13" s="634"/>
      <c r="J13" s="564"/>
      <c r="K13" s="565"/>
      <c r="M13" s="132"/>
      <c r="N13" s="133"/>
      <c r="O13" s="133"/>
      <c r="P13" s="133"/>
    </row>
    <row r="14" spans="1:16" s="9" customFormat="1" ht="15">
      <c r="A14" s="430" t="str">
        <f>MEMORIAL!A14</f>
        <v>2.1</v>
      </c>
      <c r="B14" s="419">
        <v>73599</v>
      </c>
      <c r="C14" s="420" t="str">
        <f>MEMORIAL!B14</f>
        <v>Escavação mec. de valas em qualquer tipo de solo, 0,00 a 4,00 m</v>
      </c>
      <c r="D14" s="422" t="str">
        <f>MEMORIAL!C14</f>
        <v>m3</v>
      </c>
      <c r="E14" s="421">
        <f>MEMORIAL!D14</f>
        <v>533</v>
      </c>
      <c r="F14" s="401">
        <f aca="true" t="shared" si="1" ref="F14:F30">ROUND(K14*$K$9,2)</f>
        <v>9.49</v>
      </c>
      <c r="G14" s="401">
        <f aca="true" t="shared" si="2" ref="G14:G30">ROUND(E14*F14,2)</f>
        <v>5058.17</v>
      </c>
      <c r="H14" s="442">
        <f t="shared" si="0"/>
        <v>0.01650547933802395</v>
      </c>
      <c r="I14" s="635"/>
      <c r="J14" s="471">
        <v>7.67</v>
      </c>
      <c r="K14" s="257">
        <f aca="true" t="shared" si="3" ref="K14:K64">I14+J14</f>
        <v>7.67</v>
      </c>
      <c r="L14" s="90"/>
      <c r="M14" s="130"/>
      <c r="N14" s="134"/>
      <c r="O14" s="135"/>
      <c r="P14" s="131"/>
    </row>
    <row r="15" spans="1:16" s="9" customFormat="1" ht="15">
      <c r="A15" s="430" t="str">
        <f>MEMORIAL!A15</f>
        <v>2.2</v>
      </c>
      <c r="B15" s="423" t="s">
        <v>354</v>
      </c>
      <c r="C15" s="420" t="str">
        <f>MEMORIAL!B15</f>
        <v>Escoramento -  Pontaleteamento = dit. entre PVS ou CLs x Hmédia x 2,00 lados da vala</v>
      </c>
      <c r="D15" s="422" t="str">
        <f>MEMORIAL!C15</f>
        <v>m2</v>
      </c>
      <c r="E15" s="421">
        <f>MEMORIAL!D15</f>
        <v>276</v>
      </c>
      <c r="F15" s="401">
        <f>ROUND(K15*$K$9,2)</f>
        <v>8.07</v>
      </c>
      <c r="G15" s="401">
        <f>ROUND(E15*F15,2)</f>
        <v>2227.32</v>
      </c>
      <c r="H15" s="442">
        <f t="shared" si="0"/>
        <v>0.007268040465062959</v>
      </c>
      <c r="I15" s="635"/>
      <c r="J15" s="471">
        <v>6.52</v>
      </c>
      <c r="K15" s="257">
        <f t="shared" si="3"/>
        <v>6.52</v>
      </c>
      <c r="L15" s="90"/>
      <c r="M15" s="130"/>
      <c r="N15" s="134"/>
      <c r="O15" s="135"/>
      <c r="P15" s="131"/>
    </row>
    <row r="16" spans="1:16" s="9" customFormat="1" ht="15">
      <c r="A16" s="430" t="str">
        <f>MEMORIAL!A16</f>
        <v>2.3</v>
      </c>
      <c r="B16" s="423" t="s">
        <v>193</v>
      </c>
      <c r="C16" s="420" t="str">
        <f>MEMORIAL!B16</f>
        <v>Lastro de brita 6 cm x 60 cm</v>
      </c>
      <c r="D16" s="422" t="str">
        <f>MEMORIAL!C16</f>
        <v>m3</v>
      </c>
      <c r="E16" s="421">
        <f>MEMORIAL!D16</f>
        <v>11</v>
      </c>
      <c r="F16" s="401">
        <f t="shared" si="1"/>
        <v>120.25</v>
      </c>
      <c r="G16" s="401">
        <f t="shared" si="2"/>
        <v>1322.75</v>
      </c>
      <c r="H16" s="442">
        <f t="shared" si="0"/>
        <v>0.00431630862433868</v>
      </c>
      <c r="I16" s="635"/>
      <c r="J16" s="471">
        <v>97.19</v>
      </c>
      <c r="K16" s="257">
        <f t="shared" si="3"/>
        <v>97.19</v>
      </c>
      <c r="L16" s="90"/>
      <c r="M16" s="130"/>
      <c r="N16" s="136"/>
      <c r="O16" s="135"/>
      <c r="P16" s="131"/>
    </row>
    <row r="17" spans="1:16" s="9" customFormat="1" ht="15">
      <c r="A17" s="430" t="str">
        <f>MEMORIAL!A17</f>
        <v>2.4</v>
      </c>
      <c r="B17" s="419">
        <v>73730</v>
      </c>
      <c r="C17" s="420" t="str">
        <f>MEMORIAL!B17</f>
        <v>Assentamento de tubos de concreto diametro de 30 cm., armado ou simples</v>
      </c>
      <c r="D17" s="422" t="str">
        <f>MEMORIAL!C17</f>
        <v>m</v>
      </c>
      <c r="E17" s="421">
        <f>MEMORIAL!D17</f>
        <v>104</v>
      </c>
      <c r="F17" s="401">
        <f t="shared" si="1"/>
        <v>12.99</v>
      </c>
      <c r="G17" s="401">
        <f t="shared" si="2"/>
        <v>1350.96</v>
      </c>
      <c r="H17" s="442">
        <f t="shared" si="0"/>
        <v>0.004408361594508851</v>
      </c>
      <c r="I17" s="635"/>
      <c r="J17" s="471">
        <v>10.5</v>
      </c>
      <c r="K17" s="257">
        <f t="shared" si="3"/>
        <v>10.5</v>
      </c>
      <c r="L17" s="90"/>
      <c r="M17" s="130"/>
      <c r="N17" s="136"/>
      <c r="O17" s="135"/>
      <c r="P17" s="131"/>
    </row>
    <row r="18" spans="1:16" s="9" customFormat="1" ht="15">
      <c r="A18" s="430" t="str">
        <f>MEMORIAL!A18</f>
        <v>2.5</v>
      </c>
      <c r="B18" s="419">
        <v>7790</v>
      </c>
      <c r="C18" s="420" t="str">
        <f>MEMORIAL!B18</f>
        <v>Tubo de concreto simples classe - PS2 - NBR-8890 de Ø 30 cm, para águas pluviais</v>
      </c>
      <c r="D18" s="422" t="str">
        <f>MEMORIAL!C18</f>
        <v>m</v>
      </c>
      <c r="E18" s="421">
        <f>MEMORIAL!D18</f>
        <v>104</v>
      </c>
      <c r="F18" s="401">
        <f>ROUND(K18*$K$9,2)</f>
        <v>24.25</v>
      </c>
      <c r="G18" s="401">
        <f>ROUND(E18*F18,2)</f>
        <v>2522</v>
      </c>
      <c r="H18" s="442">
        <f t="shared" si="0"/>
        <v>0.00822962037466048</v>
      </c>
      <c r="I18" s="635"/>
      <c r="J18" s="471">
        <v>19.6</v>
      </c>
      <c r="K18" s="257">
        <f t="shared" si="3"/>
        <v>19.6</v>
      </c>
      <c r="L18" s="90"/>
      <c r="M18" s="130"/>
      <c r="N18" s="136"/>
      <c r="O18" s="135"/>
      <c r="P18" s="131"/>
    </row>
    <row r="19" spans="1:16" s="9" customFormat="1" ht="15">
      <c r="A19" s="430" t="str">
        <f>MEMORIAL!A19</f>
        <v>2.6</v>
      </c>
      <c r="B19" s="419">
        <v>73724</v>
      </c>
      <c r="C19" s="420" t="str">
        <f>MEMORIAL!B19</f>
        <v>Assentamento de tubos de concreto diametro de 40 cm., armado ou simples</v>
      </c>
      <c r="D19" s="422" t="str">
        <f>MEMORIAL!C19</f>
        <v>m</v>
      </c>
      <c r="E19" s="421">
        <f>MEMORIAL!D19</f>
        <v>260</v>
      </c>
      <c r="F19" s="401">
        <f>ROUND(K19*$K$9,2)</f>
        <v>18.5</v>
      </c>
      <c r="G19" s="401">
        <f>ROUND(E19*F19,2)</f>
        <v>4810</v>
      </c>
      <c r="H19" s="442">
        <f t="shared" si="0"/>
        <v>0.015695667724867926</v>
      </c>
      <c r="I19" s="635"/>
      <c r="J19" s="471">
        <v>14.95</v>
      </c>
      <c r="K19" s="257">
        <f t="shared" si="3"/>
        <v>14.95</v>
      </c>
      <c r="L19" s="90"/>
      <c r="M19" s="130"/>
      <c r="N19" s="136"/>
      <c r="O19" s="135"/>
      <c r="P19" s="131"/>
    </row>
    <row r="20" spans="1:16" s="9" customFormat="1" ht="15">
      <c r="A20" s="430" t="str">
        <f>MEMORIAL!A20</f>
        <v>2.7</v>
      </c>
      <c r="B20" s="419">
        <v>7761</v>
      </c>
      <c r="C20" s="420" t="str">
        <f>MEMORIAL!B20</f>
        <v>Tubo de concreto armado classe - PA2 PB NBR-8890/2007 de Ø 40 cm, para águas pluviais</v>
      </c>
      <c r="D20" s="422" t="str">
        <f>MEMORIAL!C20</f>
        <v>m</v>
      </c>
      <c r="E20" s="421">
        <f>MEMORIAL!D20</f>
        <v>260</v>
      </c>
      <c r="F20" s="401">
        <f>ROUND(K20*$K$9,2)</f>
        <v>70.74</v>
      </c>
      <c r="G20" s="401">
        <f>ROUND(E20*F20,2)</f>
        <v>18392.4</v>
      </c>
      <c r="H20" s="442">
        <f t="shared" si="0"/>
        <v>0.0600168397220085</v>
      </c>
      <c r="I20" s="635"/>
      <c r="J20" s="471">
        <v>57.17</v>
      </c>
      <c r="K20" s="257">
        <f t="shared" si="3"/>
        <v>57.17</v>
      </c>
      <c r="L20" s="90"/>
      <c r="M20" s="130"/>
      <c r="N20" s="136"/>
      <c r="O20" s="135"/>
      <c r="P20" s="131"/>
    </row>
    <row r="21" spans="1:16" s="9" customFormat="1" ht="15">
      <c r="A21" s="430" t="str">
        <f>MEMORIAL!A21</f>
        <v>2.8</v>
      </c>
      <c r="B21" s="419">
        <v>73722</v>
      </c>
      <c r="C21" s="420" t="str">
        <f>MEMORIAL!B21</f>
        <v>Assentamento de tubos de concreto diametro de 60 cm., armado ou simples</v>
      </c>
      <c r="D21" s="422" t="str">
        <f>MEMORIAL!C21</f>
        <v>m</v>
      </c>
      <c r="E21" s="421">
        <f>MEMORIAL!D21</f>
        <v>38</v>
      </c>
      <c r="F21" s="401">
        <f>ROUND(K21*$K$9,2)</f>
        <v>35.99</v>
      </c>
      <c r="G21" s="401">
        <f>ROUND(E21*F21,2)</f>
        <v>1367.62</v>
      </c>
      <c r="H21" s="442">
        <f t="shared" si="0"/>
        <v>0.00446272538334384</v>
      </c>
      <c r="I21" s="635"/>
      <c r="J21" s="471">
        <v>29.09</v>
      </c>
      <c r="K21" s="257">
        <f t="shared" si="3"/>
        <v>29.09</v>
      </c>
      <c r="L21" s="90"/>
      <c r="M21" s="130"/>
      <c r="N21" s="136"/>
      <c r="O21" s="135"/>
      <c r="P21" s="131"/>
    </row>
    <row r="22" spans="1:16" s="9" customFormat="1" ht="15">
      <c r="A22" s="430" t="str">
        <f>MEMORIAL!A22</f>
        <v>2.9</v>
      </c>
      <c r="B22" s="419">
        <v>7762</v>
      </c>
      <c r="C22" s="420" t="str">
        <f>MEMORIAL!B22</f>
        <v>Tubo de concreto armado classe - PA2 PB NBR-8890/2007 de Ø 60 cm, para águas pluviais</v>
      </c>
      <c r="D22" s="422" t="str">
        <f>MEMORIAL!C22</f>
        <v>m</v>
      </c>
      <c r="E22" s="421">
        <f>MEMORIAL!D22</f>
        <v>38</v>
      </c>
      <c r="F22" s="401">
        <f>ROUND(K22*$K$9,2)</f>
        <v>122.31</v>
      </c>
      <c r="G22" s="401">
        <f>ROUND(E22*F22,2)</f>
        <v>4647.78</v>
      </c>
      <c r="H22" s="442">
        <f t="shared" si="0"/>
        <v>0.015166322357232151</v>
      </c>
      <c r="I22" s="635"/>
      <c r="J22" s="471">
        <v>98.85</v>
      </c>
      <c r="K22" s="257">
        <f t="shared" si="3"/>
        <v>98.85</v>
      </c>
      <c r="L22" s="90"/>
      <c r="M22" s="130"/>
      <c r="N22" s="136"/>
      <c r="O22" s="135"/>
      <c r="P22" s="131"/>
    </row>
    <row r="23" spans="1:16" s="9" customFormat="1" ht="15">
      <c r="A23" s="430" t="str">
        <f>MEMORIAL!A23</f>
        <v>2.10</v>
      </c>
      <c r="B23" s="419" t="s">
        <v>325</v>
      </c>
      <c r="C23" s="638" t="s">
        <v>435</v>
      </c>
      <c r="D23" s="422" t="str">
        <f>MEMORIAL!C23</f>
        <v>m2</v>
      </c>
      <c r="E23" s="421">
        <f>MEMORIAL!D23</f>
        <v>229</v>
      </c>
      <c r="F23" s="401">
        <f t="shared" si="1"/>
        <v>7.14</v>
      </c>
      <c r="G23" s="401">
        <f t="shared" si="2"/>
        <v>1635.06</v>
      </c>
      <c r="H23" s="442">
        <f t="shared" si="0"/>
        <v>0.00533541756137683</v>
      </c>
      <c r="I23" s="635"/>
      <c r="J23" s="471">
        <v>5.77</v>
      </c>
      <c r="K23" s="257">
        <f t="shared" si="3"/>
        <v>5.77</v>
      </c>
      <c r="L23" s="90"/>
      <c r="M23" s="130"/>
      <c r="N23" s="136"/>
      <c r="O23" s="135"/>
      <c r="P23" s="131"/>
    </row>
    <row r="24" spans="1:16" s="9" customFormat="1" ht="15">
      <c r="A24" s="430" t="str">
        <f>MEMORIAL!A26</f>
        <v>2.11</v>
      </c>
      <c r="B24" s="419" t="s">
        <v>217</v>
      </c>
      <c r="C24" s="420" t="str">
        <f>MEMORIAL!B26</f>
        <v>Reaterro de vala com material granular reaproveitado adensado e vibrado</v>
      </c>
      <c r="D24" s="422" t="str">
        <f>MEMORIAL!C26</f>
        <v>m3</v>
      </c>
      <c r="E24" s="421">
        <f>MEMORIAL!D26</f>
        <v>446</v>
      </c>
      <c r="F24" s="401">
        <f t="shared" si="1"/>
        <v>15.86</v>
      </c>
      <c r="G24" s="401">
        <f t="shared" si="2"/>
        <v>7073.56</v>
      </c>
      <c r="H24" s="442">
        <f t="shared" si="0"/>
        <v>0.023081964114743614</v>
      </c>
      <c r="I24" s="635"/>
      <c r="J24" s="471">
        <v>12.82</v>
      </c>
      <c r="K24" s="257">
        <f t="shared" si="3"/>
        <v>12.82</v>
      </c>
      <c r="L24" s="90"/>
      <c r="M24" s="130"/>
      <c r="N24" s="136"/>
      <c r="O24" s="135"/>
      <c r="P24" s="131"/>
    </row>
    <row r="25" spans="1:16" s="9" customFormat="1" ht="15">
      <c r="A25" s="430" t="str">
        <f>MEMORIAL!A27</f>
        <v>2.12</v>
      </c>
      <c r="B25" s="419">
        <v>72208</v>
      </c>
      <c r="C25" s="420" t="str">
        <f>MEMORIAL!B27</f>
        <v>Carga mecanizada e remoção de escedentes com transporte até 1 km</v>
      </c>
      <c r="D25" s="422" t="str">
        <f>MEMORIAL!C27</f>
        <v>m3</v>
      </c>
      <c r="E25" s="421">
        <f>MEMORIAL!D27</f>
        <v>87</v>
      </c>
      <c r="F25" s="401">
        <f t="shared" si="1"/>
        <v>7.31</v>
      </c>
      <c r="G25" s="401">
        <f t="shared" si="2"/>
        <v>635.97</v>
      </c>
      <c r="H25" s="442">
        <f t="shared" si="0"/>
        <v>0.0020752544288948557</v>
      </c>
      <c r="I25" s="635"/>
      <c r="J25" s="471">
        <v>5.91</v>
      </c>
      <c r="K25" s="257">
        <f t="shared" si="3"/>
        <v>5.91</v>
      </c>
      <c r="L25" s="90"/>
      <c r="M25" s="130"/>
      <c r="N25" s="136"/>
      <c r="O25" s="135"/>
      <c r="P25" s="131"/>
    </row>
    <row r="26" spans="1:16" s="9" customFormat="1" ht="15">
      <c r="A26" s="430" t="str">
        <f>MEMORIAL!A28</f>
        <v>2.13</v>
      </c>
      <c r="B26" s="419" t="s">
        <v>363</v>
      </c>
      <c r="C26" s="420" t="str">
        <f>MEMORIAL!B28</f>
        <v>Poço de visita  Ø 40/60 cm - simples</v>
      </c>
      <c r="D26" s="422" t="str">
        <f>MEMORIAL!C28</f>
        <v>und</v>
      </c>
      <c r="E26" s="421">
        <f>MEMORIAL!D28</f>
        <v>6</v>
      </c>
      <c r="F26" s="401">
        <f t="shared" si="1"/>
        <v>2040.75</v>
      </c>
      <c r="G26" s="401">
        <f t="shared" si="2"/>
        <v>12244.5</v>
      </c>
      <c r="H26" s="442">
        <f t="shared" si="0"/>
        <v>0.039955426914167425</v>
      </c>
      <c r="I26" s="635"/>
      <c r="J26" s="471">
        <f>'PV Ø40 e Ø 60'!F43</f>
        <v>1649.35931</v>
      </c>
      <c r="K26" s="257">
        <f t="shared" si="3"/>
        <v>1649.35931</v>
      </c>
      <c r="L26" s="90"/>
      <c r="M26" s="130"/>
      <c r="N26" s="136"/>
      <c r="O26" s="135"/>
      <c r="P26" s="131"/>
    </row>
    <row r="27" spans="1:16" s="9" customFormat="1" ht="15">
      <c r="A27" s="430" t="str">
        <f>MEMORIAL!A29</f>
        <v>2.14</v>
      </c>
      <c r="B27" s="419" t="s">
        <v>363</v>
      </c>
      <c r="C27" s="420" t="str">
        <f>MEMORIAL!B29</f>
        <v>Caixa de ligação Ø 40/60 cm - simples </v>
      </c>
      <c r="D27" s="422" t="str">
        <f>MEMORIAL!C29</f>
        <v>und</v>
      </c>
      <c r="E27" s="421">
        <f>MEMORIAL!D29</f>
        <v>6</v>
      </c>
      <c r="F27" s="401">
        <f t="shared" si="1"/>
        <v>896.16</v>
      </c>
      <c r="G27" s="401">
        <f t="shared" si="2"/>
        <v>5376.96</v>
      </c>
      <c r="H27" s="442">
        <f t="shared" si="0"/>
        <v>0.0175457333742008</v>
      </c>
      <c r="I27" s="635"/>
      <c r="J27" s="471">
        <f>'CL Ø40 e Ø 60'!F43</f>
        <v>724.2835799999999</v>
      </c>
      <c r="K27" s="257">
        <f t="shared" si="3"/>
        <v>724.2835799999999</v>
      </c>
      <c r="L27" s="90"/>
      <c r="M27" s="130"/>
      <c r="N27" s="136"/>
      <c r="O27" s="135"/>
      <c r="P27" s="131"/>
    </row>
    <row r="28" spans="1:16" s="9" customFormat="1" ht="15">
      <c r="A28" s="430" t="str">
        <f>MEMORIAL!A30</f>
        <v>2.15</v>
      </c>
      <c r="B28" s="470">
        <v>83659</v>
      </c>
      <c r="C28" s="420" t="str">
        <f>MEMORIAL!B30</f>
        <v>Boca de lobo</v>
      </c>
      <c r="D28" s="422" t="str">
        <f>MEMORIAL!C30</f>
        <v>und</v>
      </c>
      <c r="E28" s="421">
        <f>MEMORIAL!D30</f>
        <v>25</v>
      </c>
      <c r="F28" s="401">
        <f t="shared" si="1"/>
        <v>707.91</v>
      </c>
      <c r="G28" s="401">
        <f t="shared" si="2"/>
        <v>17697.75</v>
      </c>
      <c r="H28" s="442">
        <f t="shared" si="0"/>
        <v>0.05775010467313541</v>
      </c>
      <c r="I28" s="635"/>
      <c r="J28" s="471">
        <v>572.14</v>
      </c>
      <c r="K28" s="257">
        <f t="shared" si="3"/>
        <v>572.14</v>
      </c>
      <c r="L28" s="90"/>
      <c r="M28" s="130"/>
      <c r="N28" s="136"/>
      <c r="O28" s="135"/>
      <c r="P28" s="131"/>
    </row>
    <row r="29" spans="1:16" s="9" customFormat="1" ht="15">
      <c r="A29" s="430" t="str">
        <f>MEMORIAL!A31</f>
        <v>2.16</v>
      </c>
      <c r="B29" s="419" t="s">
        <v>429</v>
      </c>
      <c r="C29" s="420" t="str">
        <f>MEMORIAL!B31</f>
        <v>Sarjeta triangular de concreto STC 02</v>
      </c>
      <c r="D29" s="422" t="str">
        <f>MEMORIAL!C31</f>
        <v>m</v>
      </c>
      <c r="E29" s="421">
        <f>MEMORIAL!D31</f>
        <v>202</v>
      </c>
      <c r="F29" s="401">
        <f t="shared" si="1"/>
        <v>30.59</v>
      </c>
      <c r="G29" s="401">
        <f t="shared" si="2"/>
        <v>6179.18</v>
      </c>
      <c r="H29" s="442">
        <f t="shared" si="0"/>
        <v>0.020163483595041456</v>
      </c>
      <c r="I29" s="635"/>
      <c r="J29" s="471">
        <v>24.72</v>
      </c>
      <c r="K29" s="257">
        <f t="shared" si="3"/>
        <v>24.72</v>
      </c>
      <c r="L29" s="90"/>
      <c r="M29" s="130"/>
      <c r="N29" s="136"/>
      <c r="O29" s="135"/>
      <c r="P29" s="131"/>
    </row>
    <row r="30" spans="1:16" s="9" customFormat="1" ht="15.75" thickBot="1">
      <c r="A30" s="430" t="str">
        <f>MEMORIAL!A32</f>
        <v>2.17</v>
      </c>
      <c r="B30" s="419" t="s">
        <v>431</v>
      </c>
      <c r="C30" s="420" t="str">
        <f>MEMORIAL!B32</f>
        <v>Caixa coletora de sarjeta CCS 01</v>
      </c>
      <c r="D30" s="422" t="str">
        <f>MEMORIAL!C32</f>
        <v>und</v>
      </c>
      <c r="E30" s="421">
        <f>MEMORIAL!D32</f>
        <v>7</v>
      </c>
      <c r="F30" s="401">
        <f t="shared" si="1"/>
        <v>1212.07</v>
      </c>
      <c r="G30" s="401">
        <f t="shared" si="2"/>
        <v>8484.49</v>
      </c>
      <c r="H30" s="442">
        <f t="shared" si="0"/>
        <v>0.027686015770262924</v>
      </c>
      <c r="I30" s="636"/>
      <c r="J30" s="472">
        <v>979.61</v>
      </c>
      <c r="K30" s="566">
        <f t="shared" si="3"/>
        <v>979.61</v>
      </c>
      <c r="L30" s="90"/>
      <c r="M30" s="130"/>
      <c r="N30" s="136"/>
      <c r="O30" s="135"/>
      <c r="P30" s="131"/>
    </row>
    <row r="31" spans="1:16" s="9" customFormat="1" ht="15.75" thickBot="1">
      <c r="A31" s="431"/>
      <c r="B31" s="559"/>
      <c r="C31" s="432"/>
      <c r="D31" s="506"/>
      <c r="E31" s="433"/>
      <c r="F31" s="434"/>
      <c r="G31" s="434"/>
      <c r="H31" s="441"/>
      <c r="I31" s="561"/>
      <c r="J31" s="562"/>
      <c r="K31" s="553"/>
      <c r="L31" s="90"/>
      <c r="M31" s="130"/>
      <c r="N31" s="136"/>
      <c r="O31" s="135"/>
      <c r="P31" s="131"/>
    </row>
    <row r="32" spans="1:16" s="87" customFormat="1" ht="15.75">
      <c r="A32" s="511" t="str">
        <f>MEMORIAL!A34</f>
        <v>3.0</v>
      </c>
      <c r="B32" s="512"/>
      <c r="C32" s="512" t="str">
        <f>MEMORIAL!B34</f>
        <v>PAVIMENTAÇÃO ASFÁLTICA</v>
      </c>
      <c r="D32" s="513"/>
      <c r="E32" s="514"/>
      <c r="F32" s="515"/>
      <c r="G32" s="516">
        <f>SUM(G33:G38)</f>
        <v>150859.14</v>
      </c>
      <c r="H32" s="517">
        <f aca="true" t="shared" si="4" ref="H32:H38">G32/$G$65</f>
        <v>0.49227337519736636</v>
      </c>
      <c r="I32" s="518"/>
      <c r="J32" s="504"/>
      <c r="K32" s="505">
        <f t="shared" si="3"/>
        <v>0</v>
      </c>
      <c r="M32" s="132"/>
      <c r="N32" s="134"/>
      <c r="O32" s="135"/>
      <c r="P32" s="133"/>
    </row>
    <row r="33" spans="1:16" s="87" customFormat="1" ht="15.75">
      <c r="A33" s="430" t="str">
        <f>MEMORIAL!A35</f>
        <v>3.1</v>
      </c>
      <c r="B33" s="419">
        <v>72961</v>
      </c>
      <c r="C33" s="420" t="str">
        <f>MEMORIAL!B35</f>
        <v>Regularização e compactação de até 20 cm</v>
      </c>
      <c r="D33" s="422" t="str">
        <f>MEMORIAL!C35</f>
        <v>m2</v>
      </c>
      <c r="E33" s="421">
        <f>MEMORIAL!D35</f>
        <v>2152</v>
      </c>
      <c r="F33" s="401">
        <f aca="true" t="shared" si="5" ref="F33:F60">ROUND(K33*$K$9,2)</f>
        <v>1.71</v>
      </c>
      <c r="G33" s="401">
        <f aca="true" t="shared" si="6" ref="G33:G60">ROUND(E33*F33,2)</f>
        <v>3679.92</v>
      </c>
      <c r="H33" s="442">
        <f t="shared" si="4"/>
        <v>0.01200806685532141</v>
      </c>
      <c r="I33" s="463"/>
      <c r="J33" s="471">
        <v>1.38</v>
      </c>
      <c r="K33" s="257">
        <f t="shared" si="3"/>
        <v>1.38</v>
      </c>
      <c r="M33" s="132"/>
      <c r="N33" s="134"/>
      <c r="O33" s="135"/>
      <c r="P33" s="133"/>
    </row>
    <row r="34" spans="1:16" s="9" customFormat="1" ht="15">
      <c r="A34" s="430" t="str">
        <f>MEMORIAL!A36</f>
        <v>3.2</v>
      </c>
      <c r="B34" s="419" t="s">
        <v>160</v>
      </c>
      <c r="C34" s="420" t="str">
        <f>MEMORIAL!B36</f>
        <v>Colocação de meio-fio externo (12x15x30x80) - incluindo rejunte e reaterro - fck=25MPa</v>
      </c>
      <c r="D34" s="422" t="str">
        <f>MEMORIAL!C36</f>
        <v>m</v>
      </c>
      <c r="E34" s="421">
        <f>MEMORIAL!D36</f>
        <v>665</v>
      </c>
      <c r="F34" s="401">
        <f t="shared" si="5"/>
        <v>36.5</v>
      </c>
      <c r="G34" s="401">
        <f t="shared" si="6"/>
        <v>24272.5</v>
      </c>
      <c r="H34" s="442">
        <f t="shared" si="4"/>
        <v>0.07920438562408665</v>
      </c>
      <c r="I34" s="463"/>
      <c r="J34" s="471">
        <v>29.5</v>
      </c>
      <c r="K34" s="257">
        <f t="shared" si="3"/>
        <v>29.5</v>
      </c>
      <c r="L34" s="90"/>
      <c r="M34" s="130"/>
      <c r="N34" s="137"/>
      <c r="O34" s="131"/>
      <c r="P34" s="131"/>
    </row>
    <row r="35" spans="1:16" s="9" customFormat="1" ht="15">
      <c r="A35" s="430" t="str">
        <f>MEMORIAL!A37</f>
        <v>3.3</v>
      </c>
      <c r="B35" s="419">
        <v>73710</v>
      </c>
      <c r="C35" s="420" t="str">
        <f>MEMORIAL!B37</f>
        <v>Base de camada de brita graduada - h=15 cm</v>
      </c>
      <c r="D35" s="422" t="str">
        <f>MEMORIAL!C37</f>
        <v>m3</v>
      </c>
      <c r="E35" s="421">
        <f>MEMORIAL!D37</f>
        <v>323</v>
      </c>
      <c r="F35" s="401">
        <f t="shared" si="5"/>
        <v>159.44</v>
      </c>
      <c r="G35" s="401">
        <f t="shared" si="6"/>
        <v>51499.12</v>
      </c>
      <c r="H35" s="442">
        <f t="shared" si="4"/>
        <v>0.16804845647465705</v>
      </c>
      <c r="I35" s="463"/>
      <c r="J35" s="471">
        <v>128.86</v>
      </c>
      <c r="K35" s="257">
        <f t="shared" si="3"/>
        <v>128.86</v>
      </c>
      <c r="L35" s="90"/>
      <c r="M35" s="130"/>
      <c r="N35" s="137"/>
      <c r="O35" s="131"/>
      <c r="P35" s="131"/>
    </row>
    <row r="36" spans="1:16" s="9" customFormat="1" ht="15">
      <c r="A36" s="430" t="str">
        <f>MEMORIAL!A38</f>
        <v>3.4</v>
      </c>
      <c r="B36" s="419">
        <v>72945</v>
      </c>
      <c r="C36" s="420" t="str">
        <f>MEMORIAL!B38</f>
        <v>Imprimação com CM-30 - 1,2 l/m2</v>
      </c>
      <c r="D36" s="422" t="str">
        <f>MEMORIAL!C38</f>
        <v>m2</v>
      </c>
      <c r="E36" s="421">
        <f>MEMORIAL!D38</f>
        <v>2152</v>
      </c>
      <c r="F36" s="401">
        <f t="shared" si="5"/>
        <v>3.75</v>
      </c>
      <c r="G36" s="401">
        <f t="shared" si="6"/>
        <v>8070</v>
      </c>
      <c r="H36" s="442">
        <f t="shared" si="4"/>
        <v>0.026333479945880284</v>
      </c>
      <c r="I36" s="637"/>
      <c r="J36" s="471">
        <v>3.03</v>
      </c>
      <c r="K36" s="257">
        <f>J36-I36</f>
        <v>3.03</v>
      </c>
      <c r="L36" s="90"/>
      <c r="M36" s="130"/>
      <c r="N36" s="137"/>
      <c r="O36" s="131"/>
      <c r="P36" s="131"/>
    </row>
    <row r="37" spans="1:16" s="9" customFormat="1" ht="15">
      <c r="A37" s="430" t="str">
        <f>MEMORIAL!A39</f>
        <v>3.5</v>
      </c>
      <c r="B37" s="419">
        <v>72943</v>
      </c>
      <c r="C37" s="420" t="str">
        <f>MEMORIAL!B39</f>
        <v>Pintura de ligação RR-2C  - 1,0 a 1,20 l/m2</v>
      </c>
      <c r="D37" s="422" t="str">
        <f>MEMORIAL!C39</f>
        <v>m2</v>
      </c>
      <c r="E37" s="421">
        <f>MEMORIAL!D39</f>
        <v>2152</v>
      </c>
      <c r="F37" s="401">
        <f t="shared" si="5"/>
        <v>1.45</v>
      </c>
      <c r="G37" s="401">
        <f t="shared" si="6"/>
        <v>3120.4</v>
      </c>
      <c r="H37" s="442">
        <f t="shared" si="4"/>
        <v>0.010182278912407043</v>
      </c>
      <c r="I37" s="637"/>
      <c r="J37" s="471">
        <v>1.17</v>
      </c>
      <c r="K37" s="257">
        <f t="shared" si="3"/>
        <v>1.17</v>
      </c>
      <c r="L37" s="90"/>
      <c r="M37" s="130"/>
      <c r="N37" s="137"/>
      <c r="O37" s="131"/>
      <c r="P37" s="131"/>
    </row>
    <row r="38" spans="1:16" s="9" customFormat="1" ht="15">
      <c r="A38" s="430" t="str">
        <f>MEMORIAL!A40</f>
        <v>3.6</v>
      </c>
      <c r="B38" s="419">
        <v>72965</v>
      </c>
      <c r="C38" s="420" t="str">
        <f>MEMORIAL!B40</f>
        <v>Camada de CAUQ - esp=5,0cm</v>
      </c>
      <c r="D38" s="422" t="str">
        <f>MEMORIAL!C40</f>
        <v>ton</v>
      </c>
      <c r="E38" s="421">
        <f>MEMORIAL!D40</f>
        <v>258</v>
      </c>
      <c r="F38" s="401">
        <f t="shared" si="5"/>
        <v>233.4</v>
      </c>
      <c r="G38" s="401">
        <f t="shared" si="6"/>
        <v>60217.2</v>
      </c>
      <c r="H38" s="442">
        <f t="shared" si="4"/>
        <v>0.1964967073850139</v>
      </c>
      <c r="I38" s="463"/>
      <c r="J38" s="471">
        <v>188.64</v>
      </c>
      <c r="K38" s="257">
        <f t="shared" si="3"/>
        <v>188.64</v>
      </c>
      <c r="L38" s="90"/>
      <c r="M38" s="130"/>
      <c r="N38" s="137"/>
      <c r="O38" s="131"/>
      <c r="P38" s="131"/>
    </row>
    <row r="39" spans="1:16" s="9" customFormat="1" ht="15.75" thickBot="1">
      <c r="A39" s="464"/>
      <c r="B39" s="477"/>
      <c r="C39" s="465"/>
      <c r="D39" s="466"/>
      <c r="E39" s="467"/>
      <c r="F39" s="468"/>
      <c r="G39" s="468"/>
      <c r="H39" s="469"/>
      <c r="I39" s="478"/>
      <c r="J39" s="479"/>
      <c r="K39" s="257"/>
      <c r="L39" s="90"/>
      <c r="M39" s="130"/>
      <c r="N39" s="137"/>
      <c r="O39" s="131"/>
      <c r="P39" s="131"/>
    </row>
    <row r="40" spans="1:16" s="9" customFormat="1" ht="15.75">
      <c r="A40" s="424" t="str">
        <f>MEMORIAL!A42</f>
        <v>4.0</v>
      </c>
      <c r="B40" s="507"/>
      <c r="C40" s="124" t="str">
        <f>MEMORIAL!B42</f>
        <v>PAVIMENTAÇÃO PASSEIO</v>
      </c>
      <c r="D40" s="508"/>
      <c r="E40" s="436"/>
      <c r="F40" s="437"/>
      <c r="G40" s="402">
        <f>SUM(G41:G46)</f>
        <v>42389.50000000001</v>
      </c>
      <c r="H40" s="440">
        <f aca="true" t="shared" si="7" ref="H40:H46">G40/$G$65</f>
        <v>0.13832255863270043</v>
      </c>
      <c r="I40" s="518"/>
      <c r="J40" s="509"/>
      <c r="K40" s="257"/>
      <c r="L40" s="90"/>
      <c r="M40" s="130"/>
      <c r="N40" s="137"/>
      <c r="O40" s="131"/>
      <c r="P40" s="131"/>
    </row>
    <row r="41" spans="1:16" s="9" customFormat="1" ht="15">
      <c r="A41" s="510" t="str">
        <f>MEMORIAL!A43</f>
        <v>4.1</v>
      </c>
      <c r="B41" s="419">
        <v>6081</v>
      </c>
      <c r="C41" s="420" t="str">
        <f>MEMORIAL!B43</f>
        <v>Material para aterro/reaterro (barro, argila ou saibro) - com transporte até 10 km</v>
      </c>
      <c r="D41" s="422" t="str">
        <f>MEMORIAL!C43</f>
        <v>m3</v>
      </c>
      <c r="E41" s="421">
        <f>MEMORIAL!D43</f>
        <v>27.2</v>
      </c>
      <c r="F41" s="401">
        <f t="shared" si="5"/>
        <v>22.78</v>
      </c>
      <c r="G41" s="401">
        <f t="shared" si="6"/>
        <v>619.62</v>
      </c>
      <c r="H41" s="442">
        <f t="shared" si="7"/>
        <v>0.002021902211160637</v>
      </c>
      <c r="I41" s="463"/>
      <c r="J41" s="471">
        <v>18.41</v>
      </c>
      <c r="K41" s="257">
        <f t="shared" si="3"/>
        <v>18.41</v>
      </c>
      <c r="L41" s="90"/>
      <c r="M41" s="130"/>
      <c r="N41" s="137"/>
      <c r="O41" s="131"/>
      <c r="P41" s="131"/>
    </row>
    <row r="42" spans="1:16" s="9" customFormat="1" ht="15">
      <c r="A42" s="510" t="str">
        <f>MEMORIAL!A44</f>
        <v>4.2</v>
      </c>
      <c r="B42" s="419">
        <v>5622</v>
      </c>
      <c r="C42" s="420" t="str">
        <f>MEMORIAL!B44</f>
        <v>Regularização e compactação manual de terreno com soquete</v>
      </c>
      <c r="D42" s="422" t="str">
        <f>MEMORIAL!C44</f>
        <v>m2</v>
      </c>
      <c r="E42" s="421">
        <f>MEMORIAL!D44</f>
        <v>543.4</v>
      </c>
      <c r="F42" s="401">
        <f>ROUND(K42*$K$9,2)</f>
        <v>3.6</v>
      </c>
      <c r="G42" s="401">
        <f>ROUND(E42*F42,2)</f>
        <v>1956.24</v>
      </c>
      <c r="H42" s="442">
        <f t="shared" si="7"/>
        <v>0.006383470484427367</v>
      </c>
      <c r="I42" s="463"/>
      <c r="J42" s="471">
        <v>2.91</v>
      </c>
      <c r="K42" s="257">
        <f t="shared" si="3"/>
        <v>2.91</v>
      </c>
      <c r="L42" s="90"/>
      <c r="M42" s="130"/>
      <c r="N42" s="137"/>
      <c r="O42" s="131"/>
      <c r="P42" s="131"/>
    </row>
    <row r="43" spans="1:16" s="9" customFormat="1" ht="15">
      <c r="A43" s="510" t="str">
        <f>MEMORIAL!A45</f>
        <v>4.3</v>
      </c>
      <c r="B43" s="419" t="s">
        <v>160</v>
      </c>
      <c r="C43" s="420" t="str">
        <f>MEMORIAL!B45</f>
        <v>Meio-fio interno 15 x 30 x 80 cm - incluindo rejunte e reaterro - fck=25 MPa</v>
      </c>
      <c r="D43" s="422" t="str">
        <f>MEMORIAL!C45</f>
        <v>m</v>
      </c>
      <c r="E43" s="421">
        <f>MEMORIAL!D45</f>
        <v>373</v>
      </c>
      <c r="F43" s="401">
        <f t="shared" si="5"/>
        <v>36.5</v>
      </c>
      <c r="G43" s="401">
        <f t="shared" si="6"/>
        <v>13614.5</v>
      </c>
      <c r="H43" s="442">
        <f t="shared" si="7"/>
        <v>0.04442591855305912</v>
      </c>
      <c r="I43" s="463"/>
      <c r="J43" s="471">
        <v>29.5</v>
      </c>
      <c r="K43" s="257">
        <f t="shared" si="3"/>
        <v>29.5</v>
      </c>
      <c r="L43" s="90"/>
      <c r="M43" s="130"/>
      <c r="N43" s="137"/>
      <c r="O43" s="131"/>
      <c r="P43" s="131"/>
    </row>
    <row r="44" spans="1:16" s="9" customFormat="1" ht="15">
      <c r="A44" s="510" t="str">
        <f>MEMORIAL!A46</f>
        <v>4.4</v>
      </c>
      <c r="B44" s="419" t="s">
        <v>363</v>
      </c>
      <c r="C44" s="420" t="str">
        <f>MEMORIAL!B46</f>
        <v>Pavimento intertravado paver holand cinza 20 x 10 x 6 cm fck=35 MPa</v>
      </c>
      <c r="D44" s="422" t="str">
        <f>MEMORIAL!C46</f>
        <v>m2</v>
      </c>
      <c r="E44" s="421">
        <f>MEMORIAL!D46</f>
        <v>422.6</v>
      </c>
      <c r="F44" s="401">
        <f t="shared" si="5"/>
        <v>46.24</v>
      </c>
      <c r="G44" s="401">
        <f t="shared" si="6"/>
        <v>19541.02</v>
      </c>
      <c r="H44" s="442">
        <f t="shared" si="7"/>
        <v>0.0637649390696463</v>
      </c>
      <c r="I44" s="463"/>
      <c r="J44" s="471">
        <f>PAVER!F41</f>
        <v>37.36862</v>
      </c>
      <c r="K44" s="257">
        <f t="shared" si="3"/>
        <v>37.36862</v>
      </c>
      <c r="L44" s="90"/>
      <c r="M44" s="130"/>
      <c r="N44" s="137"/>
      <c r="O44" s="131"/>
      <c r="P44" s="131"/>
    </row>
    <row r="45" spans="1:16" s="9" customFormat="1" ht="15">
      <c r="A45" s="510" t="str">
        <f>MEMORIAL!A47</f>
        <v>4.5</v>
      </c>
      <c r="B45" s="419" t="s">
        <v>363</v>
      </c>
      <c r="C45" s="420" t="str">
        <f>MEMORIAL!B47</f>
        <v>Sinalização tátil direcional 20 x 20 x 6 cm fck=35 MPa</v>
      </c>
      <c r="D45" s="422" t="str">
        <f>MEMORIAL!C47</f>
        <v>m2</v>
      </c>
      <c r="E45" s="421">
        <f>MEMORIAL!D47</f>
        <v>79.5</v>
      </c>
      <c r="F45" s="401">
        <f t="shared" si="5"/>
        <v>77.42</v>
      </c>
      <c r="G45" s="401">
        <f t="shared" si="6"/>
        <v>6154.89</v>
      </c>
      <c r="H45" s="442">
        <f t="shared" si="7"/>
        <v>0.020084222104597163</v>
      </c>
      <c r="I45" s="463"/>
      <c r="J45" s="471">
        <f>TATIL!F43</f>
        <v>62.56862</v>
      </c>
      <c r="K45" s="257">
        <f t="shared" si="3"/>
        <v>62.56862</v>
      </c>
      <c r="L45" s="90"/>
      <c r="M45" s="130"/>
      <c r="N45" s="137"/>
      <c r="O45" s="131"/>
      <c r="P45" s="131"/>
    </row>
    <row r="46" spans="1:16" s="9" customFormat="1" ht="15">
      <c r="A46" s="510" t="str">
        <f>MEMORIAL!A48</f>
        <v>4.6</v>
      </c>
      <c r="B46" s="419" t="s">
        <v>363</v>
      </c>
      <c r="C46" s="420" t="str">
        <f>MEMORIAL!B48</f>
        <v>Sinalização tátil de alerta 20 x 20 x 6 cm fck=35 MPa</v>
      </c>
      <c r="D46" s="422" t="str">
        <f>MEMORIAL!C48</f>
        <v>m2</v>
      </c>
      <c r="E46" s="421">
        <f>MEMORIAL!D48</f>
        <v>6.5</v>
      </c>
      <c r="F46" s="401">
        <f t="shared" si="5"/>
        <v>77.42</v>
      </c>
      <c r="G46" s="401">
        <f t="shared" si="6"/>
        <v>503.23</v>
      </c>
      <c r="H46" s="442">
        <f t="shared" si="7"/>
        <v>0.001642106209809831</v>
      </c>
      <c r="I46" s="463"/>
      <c r="J46" s="471">
        <f>TATIL!F43</f>
        <v>62.56862</v>
      </c>
      <c r="K46" s="257">
        <f t="shared" si="3"/>
        <v>62.56862</v>
      </c>
      <c r="L46" s="90"/>
      <c r="M46" s="130"/>
      <c r="N46" s="137"/>
      <c r="O46" s="131"/>
      <c r="P46" s="131"/>
    </row>
    <row r="47" spans="1:16" s="9" customFormat="1" ht="15.75" thickBot="1">
      <c r="A47" s="412"/>
      <c r="B47" s="435"/>
      <c r="C47" s="432"/>
      <c r="D47" s="506"/>
      <c r="E47" s="433"/>
      <c r="F47" s="434"/>
      <c r="G47" s="434"/>
      <c r="H47" s="441"/>
      <c r="I47" s="476"/>
      <c r="J47" s="472"/>
      <c r="K47" s="257"/>
      <c r="L47" s="90"/>
      <c r="M47" s="130"/>
      <c r="N47" s="137"/>
      <c r="O47" s="131"/>
      <c r="P47" s="131"/>
    </row>
    <row r="48" spans="1:16" s="9" customFormat="1" ht="15.75">
      <c r="A48" s="511" t="str">
        <f>MEMORIAL!A50</f>
        <v>5.0</v>
      </c>
      <c r="B48" s="519"/>
      <c r="C48" s="512" t="str">
        <f>MEMORIAL!B50</f>
        <v>RAMPA ACESSO PASSEIO DEFICIENTE FÍSICO</v>
      </c>
      <c r="D48" s="520"/>
      <c r="E48" s="514"/>
      <c r="F48" s="515"/>
      <c r="G48" s="516">
        <f>SUM(G49:G51)</f>
        <v>928.77</v>
      </c>
      <c r="H48" s="517">
        <f>G48/$G$65</f>
        <v>0.003030699649236088</v>
      </c>
      <c r="I48" s="502"/>
      <c r="J48" s="503"/>
      <c r="K48" s="257"/>
      <c r="L48" s="90"/>
      <c r="M48" s="130"/>
      <c r="N48" s="137"/>
      <c r="O48" s="131"/>
      <c r="P48" s="131"/>
    </row>
    <row r="49" spans="1:16" s="9" customFormat="1" ht="15">
      <c r="A49" s="510" t="str">
        <f>MEMORIAL!A51</f>
        <v>5.1</v>
      </c>
      <c r="B49" s="419" t="s">
        <v>36</v>
      </c>
      <c r="C49" s="420" t="str">
        <f>MEMORIAL!B51</f>
        <v>Concreto simples h=7 cm, virado em betoneira fck=20 MPa</v>
      </c>
      <c r="D49" s="422" t="str">
        <f>MEMORIAL!C51</f>
        <v>m3</v>
      </c>
      <c r="E49" s="421">
        <f>MEMORIAL!D51</f>
        <v>2</v>
      </c>
      <c r="F49" s="401">
        <f t="shared" si="5"/>
        <v>437.51</v>
      </c>
      <c r="G49" s="401">
        <f t="shared" si="6"/>
        <v>875.02</v>
      </c>
      <c r="H49" s="442">
        <f>G49/$G$65</f>
        <v>0.0028553062728927095</v>
      </c>
      <c r="I49" s="463"/>
      <c r="J49" s="471">
        <v>353.6</v>
      </c>
      <c r="K49" s="257">
        <f t="shared" si="3"/>
        <v>353.6</v>
      </c>
      <c r="L49" s="90"/>
      <c r="M49" s="130"/>
      <c r="N49" s="137"/>
      <c r="O49" s="131"/>
      <c r="P49" s="131"/>
    </row>
    <row r="50" spans="1:16" s="9" customFormat="1" ht="15">
      <c r="A50" s="510" t="str">
        <f>MEMORIAL!A52</f>
        <v>5.2</v>
      </c>
      <c r="B50" s="419">
        <v>72947</v>
      </c>
      <c r="C50" s="420" t="str">
        <f>MEMORIAL!B52</f>
        <v>Pintura símbolo Deficiente Físico - Cor fundo azul 60 x 60 cm</v>
      </c>
      <c r="D50" s="422" t="str">
        <f>MEMORIAL!C52</f>
        <v>m2</v>
      </c>
      <c r="E50" s="421">
        <f>MEMORIAL!D52</f>
        <v>2.2</v>
      </c>
      <c r="F50" s="401">
        <f t="shared" si="5"/>
        <v>21.5</v>
      </c>
      <c r="G50" s="401">
        <f t="shared" si="6"/>
        <v>47.3</v>
      </c>
      <c r="H50" s="442">
        <f>G50/$G$65</f>
        <v>0.00015434617118217315</v>
      </c>
      <c r="I50" s="463"/>
      <c r="J50" s="471">
        <v>17.38</v>
      </c>
      <c r="K50" s="257">
        <f t="shared" si="3"/>
        <v>17.38</v>
      </c>
      <c r="L50" s="90"/>
      <c r="M50" s="130"/>
      <c r="N50" s="137"/>
      <c r="O50" s="131"/>
      <c r="P50" s="131"/>
    </row>
    <row r="51" spans="1:16" s="9" customFormat="1" ht="15">
      <c r="A51" s="510" t="str">
        <f>MEMORIAL!A53</f>
        <v>5.3</v>
      </c>
      <c r="B51" s="419">
        <v>72947</v>
      </c>
      <c r="C51" s="420" t="str">
        <f>MEMORIAL!B53</f>
        <v>Pintura símbolo Deficiente Físico - Pictograma cor branca</v>
      </c>
      <c r="D51" s="422" t="str">
        <f>MEMORIAL!C53</f>
        <v>m2</v>
      </c>
      <c r="E51" s="421">
        <f>MEMORIAL!D53</f>
        <v>0.30000000000000004</v>
      </c>
      <c r="F51" s="401">
        <f t="shared" si="5"/>
        <v>21.5</v>
      </c>
      <c r="G51" s="401">
        <f t="shared" si="6"/>
        <v>6.45</v>
      </c>
      <c r="H51" s="442">
        <f>G51/$G$65</f>
        <v>2.104720516120543E-05</v>
      </c>
      <c r="I51" s="463"/>
      <c r="J51" s="471">
        <v>17.38</v>
      </c>
      <c r="K51" s="257">
        <f t="shared" si="3"/>
        <v>17.38</v>
      </c>
      <c r="L51" s="90"/>
      <c r="M51" s="130"/>
      <c r="N51" s="137"/>
      <c r="O51" s="131"/>
      <c r="P51" s="131"/>
    </row>
    <row r="52" spans="1:16" s="9" customFormat="1" ht="15.75" thickBot="1">
      <c r="A52" s="557"/>
      <c r="B52" s="477"/>
      <c r="C52" s="465"/>
      <c r="D52" s="466"/>
      <c r="E52" s="467"/>
      <c r="F52" s="468"/>
      <c r="G52" s="468"/>
      <c r="H52" s="469"/>
      <c r="I52" s="463"/>
      <c r="J52" s="471"/>
      <c r="K52" s="257"/>
      <c r="L52" s="90"/>
      <c r="M52" s="130"/>
      <c r="N52" s="137"/>
      <c r="O52" s="131"/>
      <c r="P52" s="131"/>
    </row>
    <row r="53" spans="1:16" s="9" customFormat="1" ht="15.75">
      <c r="A53" s="424" t="str">
        <f>MEMORIAL!A55</f>
        <v>6.0</v>
      </c>
      <c r="B53" s="507"/>
      <c r="C53" s="124" t="str">
        <f>MEMORIAL!B55</f>
        <v>FAIXA ELEVADA DE TRAVESSIA DE PEDESTRE</v>
      </c>
      <c r="D53" s="508"/>
      <c r="E53" s="436"/>
      <c r="F53" s="437"/>
      <c r="G53" s="402">
        <f>SUM(G54:G55)</f>
        <v>3805.4500000000003</v>
      </c>
      <c r="H53" s="440">
        <f>G53/$G$65</f>
        <v>0.012417687888482049</v>
      </c>
      <c r="I53" s="463"/>
      <c r="J53" s="471"/>
      <c r="K53" s="257"/>
      <c r="L53" s="90"/>
      <c r="M53" s="130"/>
      <c r="N53" s="137"/>
      <c r="O53" s="131"/>
      <c r="P53" s="131"/>
    </row>
    <row r="54" spans="1:16" s="9" customFormat="1" ht="15">
      <c r="A54" s="510" t="str">
        <f>MEMORIAL!A56</f>
        <v>6.1</v>
      </c>
      <c r="B54" s="419">
        <v>72943</v>
      </c>
      <c r="C54" s="420" t="str">
        <f>MEMORIAL!B56</f>
        <v>Pintura de ligação n°1 RR-2C </v>
      </c>
      <c r="D54" s="422" t="str">
        <f>MEMORIAL!C56</f>
        <v>m2</v>
      </c>
      <c r="E54" s="421">
        <f>MEMORIAL!D56</f>
        <v>49</v>
      </c>
      <c r="F54" s="401">
        <f t="shared" si="5"/>
        <v>1.45</v>
      </c>
      <c r="G54" s="401">
        <f t="shared" si="6"/>
        <v>71.05</v>
      </c>
      <c r="H54" s="442">
        <f>G54/$G$65</f>
        <v>0.000231845570031573</v>
      </c>
      <c r="I54" s="463"/>
      <c r="J54" s="471">
        <v>1.17</v>
      </c>
      <c r="K54" s="257">
        <f t="shared" si="3"/>
        <v>1.17</v>
      </c>
      <c r="L54" s="90"/>
      <c r="M54" s="130"/>
      <c r="N54" s="137"/>
      <c r="O54" s="131"/>
      <c r="P54" s="131"/>
    </row>
    <row r="55" spans="1:16" s="9" customFormat="1" ht="15">
      <c r="A55" s="510" t="str">
        <f>MEMORIAL!A57</f>
        <v>6.2</v>
      </c>
      <c r="B55" s="419">
        <v>72965</v>
      </c>
      <c r="C55" s="420" t="str">
        <f>MEMORIAL!B57</f>
        <v>Camada  final com CAUQ</v>
      </c>
      <c r="D55" s="422" t="str">
        <f>MEMORIAL!C57</f>
        <v>ton</v>
      </c>
      <c r="E55" s="421">
        <f>MEMORIAL!D57</f>
        <v>16</v>
      </c>
      <c r="F55" s="401">
        <f t="shared" si="5"/>
        <v>233.4</v>
      </c>
      <c r="G55" s="401">
        <f t="shared" si="6"/>
        <v>3734.4</v>
      </c>
      <c r="H55" s="442">
        <f>G55/$G$65</f>
        <v>0.012185842318450475</v>
      </c>
      <c r="I55" s="463"/>
      <c r="J55" s="471">
        <v>188.64</v>
      </c>
      <c r="K55" s="257">
        <f t="shared" si="3"/>
        <v>188.64</v>
      </c>
      <c r="L55" s="90"/>
      <c r="M55" s="130"/>
      <c r="N55" s="137"/>
      <c r="O55" s="131"/>
      <c r="P55" s="131"/>
    </row>
    <row r="56" spans="1:16" s="9" customFormat="1" ht="15.75" thickBot="1">
      <c r="A56" s="412"/>
      <c r="B56" s="435"/>
      <c r="C56" s="432">
        <f>MEMORIAL!B58</f>
        <v>0</v>
      </c>
      <c r="D56" s="506"/>
      <c r="E56" s="433"/>
      <c r="F56" s="434"/>
      <c r="G56" s="434"/>
      <c r="H56" s="441"/>
      <c r="I56" s="463"/>
      <c r="J56" s="471"/>
      <c r="K56" s="257"/>
      <c r="L56" s="90"/>
      <c r="M56" s="130"/>
      <c r="N56" s="137"/>
      <c r="O56" s="131"/>
      <c r="P56" s="131"/>
    </row>
    <row r="57" spans="1:16" s="89" customFormat="1" ht="15.75">
      <c r="A57" s="511" t="str">
        <f>MEMORIAL!A59</f>
        <v>7.0</v>
      </c>
      <c r="B57" s="512"/>
      <c r="C57" s="512" t="str">
        <f>MEMORIAL!B59</f>
        <v>SINALIZAÇÃO</v>
      </c>
      <c r="D57" s="513"/>
      <c r="E57" s="514"/>
      <c r="F57" s="515"/>
      <c r="G57" s="516">
        <f>SUM(G58:G64)</f>
        <v>6085.660000000001</v>
      </c>
      <c r="H57" s="517">
        <f aca="true" t="shared" si="8" ref="H57:H64">G57/$G$65</f>
        <v>0.019858315435866893</v>
      </c>
      <c r="I57" s="463"/>
      <c r="J57" s="633"/>
      <c r="K57" s="257"/>
      <c r="L57" s="90"/>
      <c r="M57" s="130"/>
      <c r="N57" s="438"/>
      <c r="O57" s="138"/>
      <c r="P57" s="138"/>
    </row>
    <row r="58" spans="1:16" s="89" customFormat="1" ht="15">
      <c r="A58" s="724" t="str">
        <f>MEMORIAL!A60</f>
        <v>7.1</v>
      </c>
      <c r="B58" s="419">
        <v>72947</v>
      </c>
      <c r="C58" s="420" t="str">
        <f>MEMORIAL!B60</f>
        <v>Pintura faixa de travessia de pedestres zebrada - FTP-1 cor branca</v>
      </c>
      <c r="D58" s="474" t="str">
        <f>MEMORIAL!C60</f>
        <v>m2</v>
      </c>
      <c r="E58" s="421">
        <f>MEMORIAL!D60</f>
        <v>53.8</v>
      </c>
      <c r="F58" s="401">
        <f t="shared" si="5"/>
        <v>21.5</v>
      </c>
      <c r="G58" s="401">
        <f t="shared" si="6"/>
        <v>1156.7</v>
      </c>
      <c r="H58" s="442">
        <f t="shared" si="8"/>
        <v>0.0037744654589095075</v>
      </c>
      <c r="I58" s="463"/>
      <c r="J58" s="471">
        <v>17.38</v>
      </c>
      <c r="K58" s="257">
        <f t="shared" si="3"/>
        <v>17.38</v>
      </c>
      <c r="L58" s="90"/>
      <c r="M58" s="130"/>
      <c r="N58" s="475"/>
      <c r="O58" s="138"/>
      <c r="P58" s="138"/>
    </row>
    <row r="59" spans="1:16" s="89" customFormat="1" ht="15">
      <c r="A59" s="724" t="str">
        <f>MEMORIAL!A61</f>
        <v>7.2</v>
      </c>
      <c r="B59" s="419">
        <v>72947</v>
      </c>
      <c r="C59" s="420" t="str">
        <f>MEMORIAL!B61</f>
        <v>Pintura da linha de bordo - LBO cor branca</v>
      </c>
      <c r="D59" s="474" t="str">
        <f>MEMORIAL!C61</f>
        <v>m2</v>
      </c>
      <c r="E59" s="421">
        <f>MEMORIAL!D61</f>
        <v>74.1</v>
      </c>
      <c r="F59" s="401">
        <f t="shared" si="5"/>
        <v>21.5</v>
      </c>
      <c r="G59" s="401">
        <f t="shared" si="6"/>
        <v>1593.15</v>
      </c>
      <c r="H59" s="442">
        <f t="shared" si="8"/>
        <v>0.005198659674817742</v>
      </c>
      <c r="I59" s="463"/>
      <c r="J59" s="471">
        <v>17.38</v>
      </c>
      <c r="K59" s="257">
        <f t="shared" si="3"/>
        <v>17.38</v>
      </c>
      <c r="L59" s="90"/>
      <c r="M59" s="130"/>
      <c r="N59" s="475"/>
      <c r="O59" s="138"/>
      <c r="P59" s="138"/>
    </row>
    <row r="60" spans="1:16" s="89" customFormat="1" ht="15">
      <c r="A60" s="724" t="str">
        <f>MEMORIAL!A62</f>
        <v>7.3</v>
      </c>
      <c r="B60" s="419">
        <v>72947</v>
      </c>
      <c r="C60" s="420" t="str">
        <f>MEMORIAL!B62</f>
        <v>Pintura da linha simples contínua - LFO-1 cor amarela</v>
      </c>
      <c r="D60" s="474" t="str">
        <f>MEMORIAL!C62</f>
        <v>m2</v>
      </c>
      <c r="E60" s="421">
        <f>MEMORIAL!D62</f>
        <v>38.2</v>
      </c>
      <c r="F60" s="401">
        <f t="shared" si="5"/>
        <v>21.5</v>
      </c>
      <c r="G60" s="401">
        <f t="shared" si="6"/>
        <v>821.3</v>
      </c>
      <c r="H60" s="442">
        <f t="shared" si="8"/>
        <v>0.002680010790526825</v>
      </c>
      <c r="I60" s="463"/>
      <c r="J60" s="471">
        <v>17.38</v>
      </c>
      <c r="K60" s="257">
        <f t="shared" si="3"/>
        <v>17.38</v>
      </c>
      <c r="L60" s="90"/>
      <c r="M60" s="130"/>
      <c r="N60" s="475"/>
      <c r="O60" s="138"/>
      <c r="P60" s="138"/>
    </row>
    <row r="61" spans="1:16" s="89" customFormat="1" ht="15.75" thickBot="1">
      <c r="A61" s="724" t="str">
        <f>MEMORIAL!A63</f>
        <v>7.4</v>
      </c>
      <c r="B61" s="423" t="s">
        <v>323</v>
      </c>
      <c r="C61" s="420" t="str">
        <f>MEMORIAL!B63</f>
        <v>Placa regulamentadora R-1 - (Parada obrigatória)</v>
      </c>
      <c r="D61" s="474" t="str">
        <f>MEMORIAL!C63</f>
        <v>und</v>
      </c>
      <c r="E61" s="421">
        <f>MEMORIAL!D63</f>
        <v>3</v>
      </c>
      <c r="F61" s="401">
        <f>ROUND(K61*$K$9,2)</f>
        <v>158.5</v>
      </c>
      <c r="G61" s="401">
        <f>ROUND(E61*F61,2)</f>
        <v>475.5</v>
      </c>
      <c r="H61" s="442">
        <f t="shared" si="8"/>
        <v>0.0015516195432795632</v>
      </c>
      <c r="I61" s="463"/>
      <c r="J61" s="471">
        <v>128.1</v>
      </c>
      <c r="K61" s="257">
        <f t="shared" si="3"/>
        <v>128.1</v>
      </c>
      <c r="L61" s="90"/>
      <c r="M61" s="130"/>
      <c r="N61" s="439"/>
      <c r="O61" s="138"/>
      <c r="P61" s="138"/>
    </row>
    <row r="62" spans="1:16" s="89" customFormat="1" ht="15">
      <c r="A62" s="724" t="str">
        <f>MEMORIAL!A64</f>
        <v>7.5</v>
      </c>
      <c r="B62" s="423" t="s">
        <v>375</v>
      </c>
      <c r="C62" s="420" t="str">
        <f>MEMORIAL!B64</f>
        <v>Placa de advertência A-32b - (Passagem sinalizada de pedestres)</v>
      </c>
      <c r="D62" s="474" t="str">
        <f>MEMORIAL!C64</f>
        <v>und</v>
      </c>
      <c r="E62" s="421">
        <f>MEMORIAL!D64</f>
        <v>6</v>
      </c>
      <c r="F62" s="401">
        <f>ROUND(K62*$K$9,2)</f>
        <v>162.63</v>
      </c>
      <c r="G62" s="401">
        <f>ROUND(E62*F62,2)</f>
        <v>975.78</v>
      </c>
      <c r="H62" s="442">
        <f t="shared" si="8"/>
        <v>0.003184099511969153</v>
      </c>
      <c r="I62" s="478"/>
      <c r="J62" s="479">
        <v>131.44</v>
      </c>
      <c r="K62" s="257">
        <f t="shared" si="3"/>
        <v>131.44</v>
      </c>
      <c r="L62" s="90"/>
      <c r="M62" s="130"/>
      <c r="N62" s="480"/>
      <c r="O62" s="138"/>
      <c r="P62" s="138"/>
    </row>
    <row r="63" spans="1:16" s="89" customFormat="1" ht="15">
      <c r="A63" s="724" t="str">
        <f>MEMORIAL!A65</f>
        <v>7.6</v>
      </c>
      <c r="B63" s="423" t="s">
        <v>375</v>
      </c>
      <c r="C63" s="420" t="str">
        <f>MEMORIAL!B65</f>
        <v>Placa de advertência EA-2 - (Especial de advertência Indicativa de travessia elevada de pedestres)</v>
      </c>
      <c r="D63" s="474" t="str">
        <f>MEMORIAL!C65</f>
        <v>und</v>
      </c>
      <c r="E63" s="421">
        <f>MEMORIAL!D65</f>
        <v>2</v>
      </c>
      <c r="F63" s="401">
        <f>ROUND(K63*$K$9,2)</f>
        <v>162.63</v>
      </c>
      <c r="G63" s="401">
        <f>ROUND(E63*F63,2)</f>
        <v>325.26</v>
      </c>
      <c r="H63" s="442">
        <f>G63/$G$65</f>
        <v>0.0010613665039897176</v>
      </c>
      <c r="I63" s="478"/>
      <c r="J63" s="479">
        <v>131.44</v>
      </c>
      <c r="K63" s="257">
        <f t="shared" si="3"/>
        <v>131.44</v>
      </c>
      <c r="L63" s="90"/>
      <c r="M63" s="130"/>
      <c r="N63" s="480"/>
      <c r="O63" s="138"/>
      <c r="P63" s="138"/>
    </row>
    <row r="64" spans="1:16" s="89" customFormat="1" ht="15.75" thickBot="1">
      <c r="A64" s="724" t="str">
        <f>MEMORIAL!A66</f>
        <v>7.7</v>
      </c>
      <c r="B64" s="710" t="s">
        <v>156</v>
      </c>
      <c r="C64" s="465" t="str">
        <f>MEMORIAL!B66</f>
        <v>Placa de Identificação de rua</v>
      </c>
      <c r="D64" s="711" t="str">
        <f>MEMORIAL!C66</f>
        <v>und</v>
      </c>
      <c r="E64" s="421">
        <f>MEMORIAL!D66</f>
        <v>3</v>
      </c>
      <c r="F64" s="468">
        <f>ROUND(K64*$K$9,2)</f>
        <v>245.99</v>
      </c>
      <c r="G64" s="468">
        <f>ROUND(E64*F64,2)</f>
        <v>737.97</v>
      </c>
      <c r="H64" s="469">
        <f t="shared" si="8"/>
        <v>0.0024080939523743834</v>
      </c>
      <c r="I64" s="476"/>
      <c r="J64" s="472">
        <v>198.81</v>
      </c>
      <c r="K64" s="257">
        <f t="shared" si="3"/>
        <v>198.81</v>
      </c>
      <c r="L64" s="90"/>
      <c r="M64" s="130"/>
      <c r="N64" s="8"/>
      <c r="O64" s="138"/>
      <c r="P64" s="138"/>
    </row>
    <row r="65" spans="1:16" s="82" customFormat="1" ht="15.75" thickBot="1">
      <c r="A65" s="712" t="s">
        <v>199</v>
      </c>
      <c r="B65" s="712"/>
      <c r="C65" s="713"/>
      <c r="D65" s="714" t="s">
        <v>3</v>
      </c>
      <c r="E65" s="715">
        <f>E33</f>
        <v>2152</v>
      </c>
      <c r="F65" s="716">
        <f>G65/E65</f>
        <v>142.40427044609672</v>
      </c>
      <c r="G65" s="717">
        <f>G10+G13+G32+G57+G40+G48+G53</f>
        <v>306453.9900000001</v>
      </c>
      <c r="H65" s="718">
        <f>H10+H13+H32+H57+H40+H48+H53</f>
        <v>0.9999999999999997</v>
      </c>
      <c r="I65" s="81"/>
      <c r="K65" s="88"/>
      <c r="L65" s="91"/>
      <c r="M65" s="139"/>
      <c r="N65" s="139"/>
      <c r="O65" s="139"/>
      <c r="P65" s="139"/>
    </row>
    <row r="66" spans="1:11" ht="12.75" customHeight="1" thickBot="1">
      <c r="A66" s="988"/>
      <c r="B66" s="988"/>
      <c r="C66" s="988"/>
      <c r="D66" s="988"/>
      <c r="E66" s="988"/>
      <c r="F66" s="988"/>
      <c r="G66" s="988"/>
      <c r="H66" s="988"/>
      <c r="K66" s="92"/>
    </row>
    <row r="67" spans="1:11" ht="14.25" customHeight="1">
      <c r="A67" s="989" t="str">
        <f>'dados de entrada'!B15</f>
        <v>PREFEITURA MUNICIPAL DE BOMBINHAS</v>
      </c>
      <c r="B67" s="990"/>
      <c r="C67" s="966"/>
      <c r="D67" s="879" t="s">
        <v>200</v>
      </c>
      <c r="E67" s="867"/>
      <c r="F67" s="867"/>
      <c r="G67" s="867"/>
      <c r="H67" s="991"/>
      <c r="K67" s="82"/>
    </row>
    <row r="68" spans="1:11" ht="14.25" customHeight="1">
      <c r="A68" s="93"/>
      <c r="B68" s="77"/>
      <c r="C68" s="182"/>
      <c r="D68" s="985"/>
      <c r="E68" s="986"/>
      <c r="F68" s="986"/>
      <c r="G68" s="986"/>
      <c r="H68" s="987"/>
      <c r="K68" s="82"/>
    </row>
    <row r="69" spans="1:11" ht="14.25" customHeight="1">
      <c r="A69" s="93"/>
      <c r="B69" s="77"/>
      <c r="C69" s="182"/>
      <c r="D69" s="982" t="s">
        <v>213</v>
      </c>
      <c r="E69" s="983"/>
      <c r="F69" s="983"/>
      <c r="G69" s="983"/>
      <c r="H69" s="984"/>
      <c r="I69" s="190"/>
      <c r="J69" s="190"/>
      <c r="K69" s="191"/>
    </row>
    <row r="70" spans="1:11" ht="14.25" customHeight="1">
      <c r="A70" s="93"/>
      <c r="B70" s="77"/>
      <c r="C70" s="182"/>
      <c r="D70" s="979" t="s">
        <v>210</v>
      </c>
      <c r="E70" s="980"/>
      <c r="F70" s="980"/>
      <c r="G70" s="980"/>
      <c r="H70" s="981"/>
      <c r="I70" s="192"/>
      <c r="J70" s="192"/>
      <c r="K70" s="191"/>
    </row>
    <row r="71" spans="1:13" ht="12.75">
      <c r="A71" s="93"/>
      <c r="B71" s="77"/>
      <c r="C71" s="182"/>
      <c r="D71" s="979"/>
      <c r="E71" s="980"/>
      <c r="F71" s="980"/>
      <c r="G71" s="980"/>
      <c r="H71" s="981"/>
      <c r="I71" s="192"/>
      <c r="J71" s="192"/>
      <c r="K71" s="192"/>
      <c r="L71" s="192"/>
      <c r="M71" s="193"/>
    </row>
    <row r="72" spans="1:11" ht="14.25" customHeight="1">
      <c r="A72" s="93"/>
      <c r="B72" s="77"/>
      <c r="C72" s="182"/>
      <c r="D72" s="97"/>
      <c r="E72" s="94"/>
      <c r="F72" s="94"/>
      <c r="G72" s="94"/>
      <c r="H72" s="95"/>
      <c r="K72" s="82"/>
    </row>
    <row r="73" spans="1:12" ht="14.25" customHeight="1">
      <c r="A73" s="93"/>
      <c r="B73" s="77"/>
      <c r="C73" s="182"/>
      <c r="D73" s="97"/>
      <c r="E73" s="94"/>
      <c r="F73" s="94"/>
      <c r="G73" s="94"/>
      <c r="H73" s="95"/>
      <c r="K73" s="82"/>
      <c r="L73" s="96"/>
    </row>
    <row r="74" spans="1:11" ht="14.25" customHeight="1">
      <c r="A74" s="948" t="s">
        <v>201</v>
      </c>
      <c r="B74" s="949"/>
      <c r="C74" s="950"/>
      <c r="D74" s="948" t="s">
        <v>202</v>
      </c>
      <c r="E74" s="949"/>
      <c r="F74" s="949"/>
      <c r="G74" s="949"/>
      <c r="H74" s="950"/>
      <c r="K74" s="82"/>
    </row>
    <row r="75" spans="1:12" ht="15.75" customHeight="1">
      <c r="A75" s="941" t="str">
        <f>'dados de entrada'!B5</f>
        <v>Ana Paula da Silva</v>
      </c>
      <c r="B75" s="942"/>
      <c r="C75" s="943"/>
      <c r="D75" s="941" t="str">
        <f>'dados de entrada'!C24</f>
        <v>Carlos Alberto Bley  </v>
      </c>
      <c r="E75" s="942"/>
      <c r="F75" s="942"/>
      <c r="G75" s="942"/>
      <c r="H75" s="943"/>
      <c r="K75" s="82"/>
      <c r="L75" s="78"/>
    </row>
    <row r="76" spans="1:11" ht="14.25" customHeight="1" thickBot="1">
      <c r="A76" s="891" t="s">
        <v>345</v>
      </c>
      <c r="B76" s="944"/>
      <c r="C76" s="945"/>
      <c r="D76" s="946" t="str">
        <f>'dados de entrada'!B17</f>
        <v>Engenheiro Civil - CREA SC 8.333-3</v>
      </c>
      <c r="E76" s="851"/>
      <c r="F76" s="851"/>
      <c r="G76" s="851"/>
      <c r="H76" s="947"/>
      <c r="J76" s="98"/>
      <c r="K76" s="82"/>
    </row>
    <row r="77" spans="10:11" ht="15.75">
      <c r="J77" s="98"/>
      <c r="K77" s="92"/>
    </row>
    <row r="78" spans="10:11" ht="15">
      <c r="J78" s="98"/>
      <c r="K78" s="82"/>
    </row>
    <row r="79" spans="2:11" ht="15">
      <c r="B79" s="99"/>
      <c r="H79" s="100"/>
      <c r="J79" s="98"/>
      <c r="K79" s="82"/>
    </row>
    <row r="80" spans="2:11" ht="15">
      <c r="B80" s="101"/>
      <c r="J80" s="98"/>
      <c r="K80" s="82"/>
    </row>
    <row r="81" spans="2:11" ht="15">
      <c r="B81" s="101"/>
      <c r="J81" s="98"/>
      <c r="K81" s="82"/>
    </row>
    <row r="82" spans="2:11" ht="15">
      <c r="B82" s="101"/>
      <c r="J82" s="98"/>
      <c r="K82" s="82"/>
    </row>
    <row r="83" spans="2:11" ht="15.75">
      <c r="B83" s="102"/>
      <c r="K83" s="92"/>
    </row>
    <row r="84" spans="2:11" ht="14.25">
      <c r="B84" s="101"/>
      <c r="K84" s="82"/>
    </row>
    <row r="85" ht="14.25">
      <c r="B85" s="102"/>
    </row>
  </sheetData>
  <sheetProtection/>
  <mergeCells count="27">
    <mergeCell ref="A6:C7"/>
    <mergeCell ref="D7:E7"/>
    <mergeCell ref="D6:H6"/>
    <mergeCell ref="D71:H71"/>
    <mergeCell ref="D70:H70"/>
    <mergeCell ref="D69:H69"/>
    <mergeCell ref="D68:H68"/>
    <mergeCell ref="A66:H66"/>
    <mergeCell ref="A67:C67"/>
    <mergeCell ref="D67:H67"/>
    <mergeCell ref="A5:C5"/>
    <mergeCell ref="D5:E5"/>
    <mergeCell ref="F5:H5"/>
    <mergeCell ref="A74:C74"/>
    <mergeCell ref="A1:H1"/>
    <mergeCell ref="A2:H2"/>
    <mergeCell ref="A3:F3"/>
    <mergeCell ref="G3:H3"/>
    <mergeCell ref="A4:F4"/>
    <mergeCell ref="G4:H4"/>
    <mergeCell ref="A75:C75"/>
    <mergeCell ref="D75:H75"/>
    <mergeCell ref="A76:C76"/>
    <mergeCell ref="D76:H76"/>
    <mergeCell ref="D74:H74"/>
    <mergeCell ref="E8:H8"/>
    <mergeCell ref="A8:B8"/>
  </mergeCells>
  <printOptions horizontalCentered="1"/>
  <pageMargins left="0.3937007874015748" right="0.3937007874015748" top="0.7874015748031497" bottom="0.3937007874015748" header="0.15748031496062992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PageLayoutView="0" workbookViewId="0" topLeftCell="A37">
      <selection activeCell="I56" sqref="I56"/>
    </sheetView>
  </sheetViews>
  <sheetFormatPr defaultColWidth="9.140625" defaultRowHeight="12.75"/>
  <cols>
    <col min="1" max="1" width="6.8515625" style="0" customWidth="1"/>
    <col min="2" max="2" width="107.8515625" style="0" customWidth="1"/>
    <col min="3" max="3" width="15.28125" style="10" bestFit="1" customWidth="1"/>
    <col min="4" max="4" width="10.8515625" style="119" customWidth="1"/>
    <col min="5" max="5" width="15.7109375" style="10" customWidth="1"/>
    <col min="6" max="6" width="11.421875" style="10" customWidth="1"/>
    <col min="7" max="7" width="15.7109375" style="10" customWidth="1"/>
    <col min="8" max="8" width="11.421875" style="10" customWidth="1"/>
    <col min="9" max="9" width="15.57421875" style="10" customWidth="1"/>
    <col min="10" max="10" width="11.8515625" style="10" customWidth="1"/>
    <col min="11" max="11" width="11.00390625" style="0" customWidth="1"/>
    <col min="12" max="12" width="13.28125" style="0" bestFit="1" customWidth="1"/>
  </cols>
  <sheetData>
    <row r="1" spans="1:10" ht="15.75">
      <c r="A1" s="996" t="s">
        <v>61</v>
      </c>
      <c r="B1" s="996"/>
      <c r="C1" s="996"/>
      <c r="D1" s="996"/>
      <c r="E1" s="996"/>
      <c r="F1" s="996"/>
      <c r="G1" s="996"/>
      <c r="H1" s="996"/>
      <c r="I1" s="996"/>
      <c r="J1" s="996"/>
    </row>
    <row r="2" spans="1:10" ht="24" thickBot="1">
      <c r="A2" s="997" t="str">
        <f>'dados de entrada'!B15</f>
        <v>PREFEITURA MUNICIPAL DE BOMBINHAS</v>
      </c>
      <c r="B2" s="997"/>
      <c r="C2" s="997"/>
      <c r="D2" s="997"/>
      <c r="E2" s="997"/>
      <c r="F2" s="997"/>
      <c r="G2" s="997"/>
      <c r="H2" s="997"/>
      <c r="I2" s="997"/>
      <c r="J2" s="997"/>
    </row>
    <row r="3" spans="1:10" ht="21" customHeight="1" thickBot="1">
      <c r="A3" s="490" t="str">
        <f>'dados de entrada'!B8</f>
        <v>PAVIMENTAÇÃO ASFÁLTICA E DRENAGEM PLUVIAL</v>
      </c>
      <c r="B3" s="121"/>
      <c r="C3" s="121"/>
      <c r="D3" s="121"/>
      <c r="E3" s="121"/>
      <c r="F3" s="121"/>
      <c r="G3" s="121"/>
      <c r="H3" s="486"/>
      <c r="I3" s="487"/>
      <c r="J3" s="488"/>
    </row>
    <row r="4" spans="1:10" s="84" customFormat="1" ht="21" customHeight="1" thickBot="1">
      <c r="A4" s="998" t="str">
        <f>'dados de entrada'!C19</f>
        <v>RUA ILHA DE MARAJÓ - BAIRRO QUATRO ILHAS</v>
      </c>
      <c r="B4" s="999"/>
      <c r="C4" s="999"/>
      <c r="D4" s="999"/>
      <c r="E4" s="999"/>
      <c r="F4" s="999"/>
      <c r="G4" s="167"/>
      <c r="H4" s="489" t="s">
        <v>379</v>
      </c>
      <c r="I4" s="1000" t="str">
        <f>'dados de entrada'!B11</f>
        <v>4.812.441-0</v>
      </c>
      <c r="J4" s="1001"/>
    </row>
    <row r="5" spans="1:10" ht="21.75" customHeight="1" thickBot="1">
      <c r="A5" s="1002">
        <f>'dados de entrada'!B3</f>
        <v>41699</v>
      </c>
      <c r="B5" s="1002"/>
      <c r="C5" s="1003" t="s">
        <v>296</v>
      </c>
      <c r="D5" s="1003"/>
      <c r="E5" s="1003"/>
      <c r="F5" s="1003"/>
      <c r="G5" s="1003"/>
      <c r="H5" s="1003"/>
      <c r="I5" s="1003" t="s">
        <v>293</v>
      </c>
      <c r="J5" s="1003"/>
    </row>
    <row r="6" spans="1:10" s="103" customFormat="1" ht="15.75" thickBot="1">
      <c r="A6" s="1004" t="s">
        <v>0</v>
      </c>
      <c r="B6" s="1004" t="s">
        <v>1</v>
      </c>
      <c r="C6" s="1036" t="s">
        <v>17</v>
      </c>
      <c r="D6" s="1037"/>
      <c r="E6" s="1037"/>
      <c r="F6" s="1037"/>
      <c r="G6" s="1037"/>
      <c r="H6" s="1038"/>
      <c r="I6" s="1007" t="s">
        <v>203</v>
      </c>
      <c r="J6" s="1008"/>
    </row>
    <row r="7" spans="1:10" s="103" customFormat="1" ht="15.75" thickBot="1">
      <c r="A7" s="1005"/>
      <c r="B7" s="1005"/>
      <c r="C7" s="1039" t="s">
        <v>204</v>
      </c>
      <c r="D7" s="1040"/>
      <c r="E7" s="1039" t="s">
        <v>205</v>
      </c>
      <c r="F7" s="1040"/>
      <c r="G7" s="1039" t="s">
        <v>291</v>
      </c>
      <c r="H7" s="1040"/>
      <c r="I7" s="1009"/>
      <c r="J7" s="1010"/>
    </row>
    <row r="8" spans="1:10" s="103" customFormat="1" ht="15.75" thickBot="1">
      <c r="A8" s="1005"/>
      <c r="B8" s="1006"/>
      <c r="C8" s="180" t="s">
        <v>6</v>
      </c>
      <c r="D8" s="639" t="s">
        <v>7</v>
      </c>
      <c r="E8" s="180" t="s">
        <v>6</v>
      </c>
      <c r="F8" s="180" t="s">
        <v>7</v>
      </c>
      <c r="G8" s="180" t="s">
        <v>6</v>
      </c>
      <c r="H8" s="180" t="s">
        <v>7</v>
      </c>
      <c r="I8" s="180" t="s">
        <v>6</v>
      </c>
      <c r="J8" s="180" t="s">
        <v>7</v>
      </c>
    </row>
    <row r="9" spans="1:12" s="87" customFormat="1" ht="15">
      <c r="A9" s="642" t="s">
        <v>22</v>
      </c>
      <c r="B9" s="643" t="str">
        <f>'[1]MEMORIAL'!B10</f>
        <v>SERVIÇOS INICIAIS</v>
      </c>
      <c r="C9" s="644">
        <f>SUM(C10:C10)</f>
        <v>1359</v>
      </c>
      <c r="D9" s="645">
        <f>C9/I9</f>
        <v>1</v>
      </c>
      <c r="E9" s="644">
        <f>SUM(E10:E10)</f>
        <v>0</v>
      </c>
      <c r="F9" s="645">
        <f>E9/I9</f>
        <v>0</v>
      </c>
      <c r="G9" s="644">
        <f>SUM(G10:G10)</f>
        <v>0</v>
      </c>
      <c r="H9" s="645">
        <f>G9/I9:I9</f>
        <v>0</v>
      </c>
      <c r="I9" s="644">
        <f>SUM(I10:I10)</f>
        <v>1359</v>
      </c>
      <c r="J9" s="104">
        <f>I9/$I$64</f>
        <v>0.0044345971804772375</v>
      </c>
      <c r="K9" s="105"/>
      <c r="L9" s="106"/>
    </row>
    <row r="10" spans="1:12" s="87" customFormat="1" ht="15">
      <c r="A10" s="510" t="s">
        <v>8</v>
      </c>
      <c r="B10" s="420" t="str">
        <f>MEMORIAL!B11</f>
        <v>Placa de obra</v>
      </c>
      <c r="C10" s="640">
        <f>I10*D10</f>
        <v>1359</v>
      </c>
      <c r="D10" s="641">
        <v>1</v>
      </c>
      <c r="E10" s="640">
        <f>I10*F10</f>
        <v>0</v>
      </c>
      <c r="F10" s="641">
        <v>0</v>
      </c>
      <c r="G10" s="640">
        <f>I10*H10</f>
        <v>0</v>
      </c>
      <c r="H10" s="641">
        <v>0</v>
      </c>
      <c r="I10" s="640">
        <f>ORÇ!G11</f>
        <v>1359</v>
      </c>
      <c r="J10" s="107">
        <f>I10/$I$64</f>
        <v>0.0044345971804772375</v>
      </c>
      <c r="K10" s="105"/>
      <c r="L10" s="108">
        <f>D10+F10+H10</f>
        <v>1</v>
      </c>
    </row>
    <row r="11" spans="1:12" s="87" customFormat="1" ht="15.75" thickBot="1">
      <c r="A11" s="557"/>
      <c r="B11" s="465"/>
      <c r="C11" s="648"/>
      <c r="D11" s="649"/>
      <c r="E11" s="648"/>
      <c r="F11" s="649"/>
      <c r="G11" s="648"/>
      <c r="H11" s="649"/>
      <c r="I11" s="648"/>
      <c r="J11" s="120"/>
      <c r="K11" s="105"/>
      <c r="L11" s="108">
        <f aca="true" t="shared" si="0" ref="L11:L63">D11+F11+H11</f>
        <v>0</v>
      </c>
    </row>
    <row r="12" spans="1:12" s="87" customFormat="1" ht="15">
      <c r="A12" s="642" t="s">
        <v>165</v>
      </c>
      <c r="B12" s="643" t="str">
        <f>MEMORIAL!B13</f>
        <v>SERVIÇOS EM DRENAGEM PLUVIAL</v>
      </c>
      <c r="C12" s="644">
        <f>SUM(C13:C29)</f>
        <v>93478.79400000001</v>
      </c>
      <c r="D12" s="645">
        <f>C12/I12</f>
        <v>0.925290114561065</v>
      </c>
      <c r="E12" s="644">
        <f>SUM(E13:E29)</f>
        <v>7547.676</v>
      </c>
      <c r="F12" s="645">
        <f>E12/I12</f>
        <v>0.07470988543893496</v>
      </c>
      <c r="G12" s="644">
        <f>SUM(G13:G29)</f>
        <v>0</v>
      </c>
      <c r="H12" s="645">
        <f>G12/I12</f>
        <v>0</v>
      </c>
      <c r="I12" s="644">
        <f>SUM(I13:I29)</f>
        <v>101026.47000000002</v>
      </c>
      <c r="J12" s="104">
        <f aca="true" t="shared" si="1" ref="J12:J29">I12/$I$64</f>
        <v>0.3296627660158707</v>
      </c>
      <c r="K12" s="105"/>
      <c r="L12" s="108">
        <f t="shared" si="0"/>
        <v>1</v>
      </c>
    </row>
    <row r="13" spans="1:12" s="87" customFormat="1" ht="15">
      <c r="A13" s="510" t="s">
        <v>53</v>
      </c>
      <c r="B13" s="420" t="str">
        <f>ORÇ!C14</f>
        <v>Escavação mec. de valas em qualquer tipo de solo, 0,00 a 4,00 m</v>
      </c>
      <c r="C13" s="640">
        <f aca="true" t="shared" si="2" ref="C13:C29">I13*D13</f>
        <v>5058.17</v>
      </c>
      <c r="D13" s="641">
        <v>1</v>
      </c>
      <c r="E13" s="640">
        <f aca="true" t="shared" si="3" ref="E13:E29">I13*F13</f>
        <v>0</v>
      </c>
      <c r="F13" s="641">
        <v>0</v>
      </c>
      <c r="G13" s="640">
        <f>I13*H13</f>
        <v>0</v>
      </c>
      <c r="H13" s="641">
        <v>0</v>
      </c>
      <c r="I13" s="640">
        <f>ORÇ!G14</f>
        <v>5058.17</v>
      </c>
      <c r="J13" s="107">
        <f t="shared" si="1"/>
        <v>0.01650547933802395</v>
      </c>
      <c r="K13" s="105"/>
      <c r="L13" s="108">
        <f t="shared" si="0"/>
        <v>1</v>
      </c>
    </row>
    <row r="14" spans="1:12" s="87" customFormat="1" ht="15" customHeight="1">
      <c r="A14" s="510" t="s">
        <v>54</v>
      </c>
      <c r="B14" s="420" t="str">
        <f>ORÇ!C15</f>
        <v>Escoramento -  Pontaleteamento = dit. entre PVS ou CLs x Hmédia x 2,00 lados da vala</v>
      </c>
      <c r="C14" s="640">
        <f t="shared" si="2"/>
        <v>2227.32</v>
      </c>
      <c r="D14" s="641">
        <v>1</v>
      </c>
      <c r="E14" s="640">
        <f t="shared" si="3"/>
        <v>0</v>
      </c>
      <c r="F14" s="641">
        <v>0</v>
      </c>
      <c r="G14" s="640">
        <f>I14*H14</f>
        <v>0</v>
      </c>
      <c r="H14" s="641">
        <v>0</v>
      </c>
      <c r="I14" s="640">
        <f>ORÇ!G15</f>
        <v>2227.32</v>
      </c>
      <c r="J14" s="107">
        <f t="shared" si="1"/>
        <v>0.007268040465062959</v>
      </c>
      <c r="K14" s="105"/>
      <c r="L14" s="108">
        <f t="shared" si="0"/>
        <v>1</v>
      </c>
    </row>
    <row r="15" spans="1:12" s="87" customFormat="1" ht="15" customHeight="1">
      <c r="A15" s="510" t="s">
        <v>55</v>
      </c>
      <c r="B15" s="420" t="str">
        <f>ORÇ!C16</f>
        <v>Lastro de brita 6 cm x 60 cm</v>
      </c>
      <c r="C15" s="640">
        <f t="shared" si="2"/>
        <v>1322.75</v>
      </c>
      <c r="D15" s="641">
        <v>1</v>
      </c>
      <c r="E15" s="640">
        <f t="shared" si="3"/>
        <v>0</v>
      </c>
      <c r="F15" s="641">
        <v>0</v>
      </c>
      <c r="G15" s="640">
        <f aca="true" t="shared" si="4" ref="G15:G29">I15*H15</f>
        <v>0</v>
      </c>
      <c r="H15" s="641">
        <v>0</v>
      </c>
      <c r="I15" s="640">
        <f>ORÇ!G16</f>
        <v>1322.75</v>
      </c>
      <c r="J15" s="107">
        <f t="shared" si="1"/>
        <v>0.00431630862433868</v>
      </c>
      <c r="K15" s="105"/>
      <c r="L15" s="108">
        <f t="shared" si="0"/>
        <v>1</v>
      </c>
    </row>
    <row r="16" spans="1:12" s="87" customFormat="1" ht="15">
      <c r="A16" s="510" t="s">
        <v>56</v>
      </c>
      <c r="B16" s="420" t="str">
        <f>ORÇ!C17</f>
        <v>Assentamento de tubos de concreto diametro de 30 cm., armado ou simples</v>
      </c>
      <c r="C16" s="640">
        <f t="shared" si="2"/>
        <v>1350.96</v>
      </c>
      <c r="D16" s="641">
        <v>1</v>
      </c>
      <c r="E16" s="640">
        <f t="shared" si="3"/>
        <v>0</v>
      </c>
      <c r="F16" s="641">
        <v>0</v>
      </c>
      <c r="G16" s="640">
        <f t="shared" si="4"/>
        <v>0</v>
      </c>
      <c r="H16" s="641">
        <v>0</v>
      </c>
      <c r="I16" s="640">
        <f>ORÇ!G17</f>
        <v>1350.96</v>
      </c>
      <c r="J16" s="107">
        <f t="shared" si="1"/>
        <v>0.004408361594508851</v>
      </c>
      <c r="K16" s="105"/>
      <c r="L16" s="108">
        <f t="shared" si="0"/>
        <v>1</v>
      </c>
    </row>
    <row r="17" spans="1:12" s="87" customFormat="1" ht="15">
      <c r="A17" s="510" t="s">
        <v>154</v>
      </c>
      <c r="B17" s="420" t="str">
        <f>ORÇ!C18</f>
        <v>Tubo de concreto simples classe - PS2 - NBR-8890 de Ø 30 cm, para águas pluviais</v>
      </c>
      <c r="C17" s="640">
        <f t="shared" si="2"/>
        <v>2522</v>
      </c>
      <c r="D17" s="641">
        <v>1</v>
      </c>
      <c r="E17" s="640">
        <f t="shared" si="3"/>
        <v>0</v>
      </c>
      <c r="F17" s="641">
        <v>0</v>
      </c>
      <c r="G17" s="640">
        <f t="shared" si="4"/>
        <v>0</v>
      </c>
      <c r="H17" s="641">
        <v>0</v>
      </c>
      <c r="I17" s="640">
        <f>ORÇ!G18</f>
        <v>2522</v>
      </c>
      <c r="J17" s="107">
        <f t="shared" si="1"/>
        <v>0.00822962037466048</v>
      </c>
      <c r="K17" s="105"/>
      <c r="L17" s="108">
        <f t="shared" si="0"/>
        <v>1</v>
      </c>
    </row>
    <row r="18" spans="1:12" s="87" customFormat="1" ht="15">
      <c r="A18" s="510" t="s">
        <v>194</v>
      </c>
      <c r="B18" s="420" t="str">
        <f>ORÇ!C19</f>
        <v>Assentamento de tubos de concreto diametro de 40 cm., armado ou simples</v>
      </c>
      <c r="C18" s="640">
        <f t="shared" si="2"/>
        <v>4810</v>
      </c>
      <c r="D18" s="641">
        <v>1</v>
      </c>
      <c r="E18" s="640">
        <f t="shared" si="3"/>
        <v>0</v>
      </c>
      <c r="F18" s="641">
        <v>0</v>
      </c>
      <c r="G18" s="640">
        <f t="shared" si="4"/>
        <v>0</v>
      </c>
      <c r="H18" s="641">
        <v>0</v>
      </c>
      <c r="I18" s="640">
        <f>ORÇ!G19</f>
        <v>4810</v>
      </c>
      <c r="J18" s="107">
        <f t="shared" si="1"/>
        <v>0.015695667724867926</v>
      </c>
      <c r="K18" s="105"/>
      <c r="L18" s="108">
        <f t="shared" si="0"/>
        <v>1</v>
      </c>
    </row>
    <row r="19" spans="1:12" s="87" customFormat="1" ht="15">
      <c r="A19" s="510" t="s">
        <v>195</v>
      </c>
      <c r="B19" s="420" t="str">
        <f>ORÇ!C20</f>
        <v>Tubo de concreto armado classe - PA2 PB NBR-8890/2007 de Ø 40 cm, para águas pluviais</v>
      </c>
      <c r="C19" s="640">
        <f t="shared" si="2"/>
        <v>18392.4</v>
      </c>
      <c r="D19" s="641">
        <v>1</v>
      </c>
      <c r="E19" s="640">
        <f t="shared" si="3"/>
        <v>0</v>
      </c>
      <c r="F19" s="641">
        <v>0</v>
      </c>
      <c r="G19" s="640">
        <f t="shared" si="4"/>
        <v>0</v>
      </c>
      <c r="H19" s="641">
        <v>0</v>
      </c>
      <c r="I19" s="640">
        <f>ORÇ!G20</f>
        <v>18392.4</v>
      </c>
      <c r="J19" s="107">
        <f t="shared" si="1"/>
        <v>0.0600168397220085</v>
      </c>
      <c r="K19" s="105"/>
      <c r="L19" s="108">
        <f t="shared" si="0"/>
        <v>1</v>
      </c>
    </row>
    <row r="20" spans="1:12" s="87" customFormat="1" ht="15">
      <c r="A20" s="510" t="s">
        <v>298</v>
      </c>
      <c r="B20" s="420" t="str">
        <f>ORÇ!C21</f>
        <v>Assentamento de tubos de concreto diametro de 60 cm., armado ou simples</v>
      </c>
      <c r="C20" s="640">
        <f t="shared" si="2"/>
        <v>1367.62</v>
      </c>
      <c r="D20" s="641">
        <v>1</v>
      </c>
      <c r="E20" s="640">
        <f t="shared" si="3"/>
        <v>0</v>
      </c>
      <c r="F20" s="641">
        <v>0</v>
      </c>
      <c r="G20" s="640">
        <f t="shared" si="4"/>
        <v>0</v>
      </c>
      <c r="H20" s="641">
        <v>0</v>
      </c>
      <c r="I20" s="640">
        <f>ORÇ!G21</f>
        <v>1367.62</v>
      </c>
      <c r="J20" s="107">
        <f t="shared" si="1"/>
        <v>0.00446272538334384</v>
      </c>
      <c r="K20" s="105"/>
      <c r="L20" s="108">
        <f t="shared" si="0"/>
        <v>1</v>
      </c>
    </row>
    <row r="21" spans="1:12" s="87" customFormat="1" ht="15">
      <c r="A21" s="510" t="s">
        <v>299</v>
      </c>
      <c r="B21" s="420" t="str">
        <f>ORÇ!C22</f>
        <v>Tubo de concreto armado classe - PA2 PB NBR-8890/2007 de Ø 60 cm, para águas pluviais</v>
      </c>
      <c r="C21" s="640">
        <f t="shared" si="2"/>
        <v>4647.78</v>
      </c>
      <c r="D21" s="641">
        <v>1</v>
      </c>
      <c r="E21" s="640">
        <f t="shared" si="3"/>
        <v>0</v>
      </c>
      <c r="F21" s="641">
        <v>0</v>
      </c>
      <c r="G21" s="640">
        <f t="shared" si="4"/>
        <v>0</v>
      </c>
      <c r="H21" s="641">
        <v>0</v>
      </c>
      <c r="I21" s="640">
        <f>ORÇ!G22</f>
        <v>4647.78</v>
      </c>
      <c r="J21" s="107">
        <f t="shared" si="1"/>
        <v>0.015166322357232151</v>
      </c>
      <c r="K21" s="105"/>
      <c r="L21" s="108">
        <f t="shared" si="0"/>
        <v>1</v>
      </c>
    </row>
    <row r="22" spans="1:12" s="87" customFormat="1" ht="15" customHeight="1">
      <c r="A22" s="510" t="s">
        <v>300</v>
      </c>
      <c r="B22" s="650" t="s">
        <v>435</v>
      </c>
      <c r="C22" s="640">
        <f t="shared" si="2"/>
        <v>1635.06</v>
      </c>
      <c r="D22" s="641">
        <v>1</v>
      </c>
      <c r="E22" s="640">
        <f t="shared" si="3"/>
        <v>0</v>
      </c>
      <c r="F22" s="641">
        <v>0</v>
      </c>
      <c r="G22" s="640">
        <f t="shared" si="4"/>
        <v>0</v>
      </c>
      <c r="H22" s="641">
        <v>0</v>
      </c>
      <c r="I22" s="640">
        <f>ORÇ!G23</f>
        <v>1635.06</v>
      </c>
      <c r="J22" s="107">
        <f t="shared" si="1"/>
        <v>0.00533541756137683</v>
      </c>
      <c r="K22" s="105"/>
      <c r="L22" s="108">
        <f t="shared" si="0"/>
        <v>1</v>
      </c>
    </row>
    <row r="23" spans="1:12" s="87" customFormat="1" ht="15">
      <c r="A23" s="510" t="s">
        <v>304</v>
      </c>
      <c r="B23" s="420" t="str">
        <f>ORÇ!C24</f>
        <v>Reaterro de vala com material granular reaproveitado adensado e vibrado</v>
      </c>
      <c r="C23" s="640">
        <f t="shared" si="2"/>
        <v>7073.56</v>
      </c>
      <c r="D23" s="641">
        <v>1</v>
      </c>
      <c r="E23" s="640">
        <f t="shared" si="3"/>
        <v>0</v>
      </c>
      <c r="F23" s="641">
        <v>0</v>
      </c>
      <c r="G23" s="640">
        <f t="shared" si="4"/>
        <v>0</v>
      </c>
      <c r="H23" s="641">
        <v>0</v>
      </c>
      <c r="I23" s="640">
        <f>ORÇ!G24</f>
        <v>7073.56</v>
      </c>
      <c r="J23" s="107">
        <f t="shared" si="1"/>
        <v>0.023081964114743614</v>
      </c>
      <c r="K23" s="105"/>
      <c r="L23" s="108">
        <f t="shared" si="0"/>
        <v>1</v>
      </c>
    </row>
    <row r="24" spans="1:12" s="87" customFormat="1" ht="15">
      <c r="A24" s="510" t="s">
        <v>306</v>
      </c>
      <c r="B24" s="420" t="str">
        <f>ORÇ!C25</f>
        <v>Carga mecanizada e remoção de escedentes com transporte até 1 km</v>
      </c>
      <c r="C24" s="640">
        <f t="shared" si="2"/>
        <v>635.97</v>
      </c>
      <c r="D24" s="641">
        <v>1</v>
      </c>
      <c r="E24" s="640">
        <f t="shared" si="3"/>
        <v>0</v>
      </c>
      <c r="F24" s="641">
        <v>0</v>
      </c>
      <c r="G24" s="640">
        <f t="shared" si="4"/>
        <v>0</v>
      </c>
      <c r="H24" s="641">
        <v>0</v>
      </c>
      <c r="I24" s="640">
        <f>ORÇ!G25</f>
        <v>635.97</v>
      </c>
      <c r="J24" s="107">
        <f t="shared" si="1"/>
        <v>0.0020752544288948557</v>
      </c>
      <c r="K24" s="105"/>
      <c r="L24" s="108">
        <f t="shared" si="0"/>
        <v>1</v>
      </c>
    </row>
    <row r="25" spans="1:12" s="87" customFormat="1" ht="15">
      <c r="A25" s="510" t="s">
        <v>342</v>
      </c>
      <c r="B25" s="420" t="str">
        <f>ORÇ!C26</f>
        <v>Poço de visita  Ø 40/60 cm - simples</v>
      </c>
      <c r="C25" s="640">
        <f t="shared" si="2"/>
        <v>12244.5</v>
      </c>
      <c r="D25" s="641">
        <v>1</v>
      </c>
      <c r="E25" s="640">
        <f t="shared" si="3"/>
        <v>0</v>
      </c>
      <c r="F25" s="641">
        <v>0</v>
      </c>
      <c r="G25" s="640">
        <f t="shared" si="4"/>
        <v>0</v>
      </c>
      <c r="H25" s="641">
        <v>0</v>
      </c>
      <c r="I25" s="640">
        <f>ORÇ!G26</f>
        <v>12244.5</v>
      </c>
      <c r="J25" s="107">
        <f t="shared" si="1"/>
        <v>0.039955426914167425</v>
      </c>
      <c r="K25" s="105"/>
      <c r="L25" s="108">
        <f t="shared" si="0"/>
        <v>1</v>
      </c>
    </row>
    <row r="26" spans="1:12" s="87" customFormat="1" ht="15">
      <c r="A26" s="510" t="s">
        <v>353</v>
      </c>
      <c r="B26" s="420" t="str">
        <f>ORÇ!C27</f>
        <v>Caixa de ligação Ø 40/60 cm - simples </v>
      </c>
      <c r="C26" s="640">
        <f t="shared" si="2"/>
        <v>4301.568</v>
      </c>
      <c r="D26" s="641">
        <v>0.8</v>
      </c>
      <c r="E26" s="640">
        <f t="shared" si="3"/>
        <v>1075.392</v>
      </c>
      <c r="F26" s="641">
        <v>0.2</v>
      </c>
      <c r="G26" s="640">
        <f t="shared" si="4"/>
        <v>0</v>
      </c>
      <c r="H26" s="641">
        <v>0</v>
      </c>
      <c r="I26" s="640">
        <f>ORÇ!G27</f>
        <v>5376.96</v>
      </c>
      <c r="J26" s="107">
        <f t="shared" si="1"/>
        <v>0.0175457333742008</v>
      </c>
      <c r="K26" s="105"/>
      <c r="L26" s="108">
        <f t="shared" si="0"/>
        <v>1</v>
      </c>
    </row>
    <row r="27" spans="1:12" s="87" customFormat="1" ht="15">
      <c r="A27" s="510" t="s">
        <v>414</v>
      </c>
      <c r="B27" s="420" t="str">
        <f>ORÇ!C28</f>
        <v>Boca de lobo</v>
      </c>
      <c r="C27" s="640">
        <f t="shared" si="2"/>
        <v>14158.2</v>
      </c>
      <c r="D27" s="641">
        <v>0.8</v>
      </c>
      <c r="E27" s="640">
        <f t="shared" si="3"/>
        <v>3539.55</v>
      </c>
      <c r="F27" s="641">
        <v>0.2</v>
      </c>
      <c r="G27" s="640">
        <f t="shared" si="4"/>
        <v>0</v>
      </c>
      <c r="H27" s="641">
        <v>0</v>
      </c>
      <c r="I27" s="640">
        <f>ORÇ!G28</f>
        <v>17697.75</v>
      </c>
      <c r="J27" s="107">
        <f t="shared" si="1"/>
        <v>0.05775010467313541</v>
      </c>
      <c r="K27" s="105"/>
      <c r="L27" s="108">
        <f t="shared" si="0"/>
        <v>1</v>
      </c>
    </row>
    <row r="28" spans="1:12" s="87" customFormat="1" ht="15">
      <c r="A28" s="510" t="s">
        <v>415</v>
      </c>
      <c r="B28" s="420" t="str">
        <f>ORÇ!C29</f>
        <v>Sarjeta triangular de concreto STC 02</v>
      </c>
      <c r="C28" s="640">
        <f t="shared" si="2"/>
        <v>4943.344000000001</v>
      </c>
      <c r="D28" s="641">
        <v>0.8</v>
      </c>
      <c r="E28" s="640">
        <f t="shared" si="3"/>
        <v>1235.8360000000002</v>
      </c>
      <c r="F28" s="641">
        <v>0.2</v>
      </c>
      <c r="G28" s="640">
        <f t="shared" si="4"/>
        <v>0</v>
      </c>
      <c r="H28" s="641">
        <v>0</v>
      </c>
      <c r="I28" s="640">
        <f>ORÇ!G29</f>
        <v>6179.18</v>
      </c>
      <c r="J28" s="107">
        <f t="shared" si="1"/>
        <v>0.020163483595041456</v>
      </c>
      <c r="K28" s="105"/>
      <c r="L28" s="108">
        <f t="shared" si="0"/>
        <v>1</v>
      </c>
    </row>
    <row r="29" spans="1:12" s="87" customFormat="1" ht="15">
      <c r="A29" s="510" t="s">
        <v>416</v>
      </c>
      <c r="B29" s="420" t="str">
        <f>ORÇ!C30</f>
        <v>Caixa coletora de sarjeta CCS 01</v>
      </c>
      <c r="C29" s="640">
        <f t="shared" si="2"/>
        <v>6787.592000000001</v>
      </c>
      <c r="D29" s="641">
        <v>0.8</v>
      </c>
      <c r="E29" s="640">
        <f t="shared" si="3"/>
        <v>1696.8980000000001</v>
      </c>
      <c r="F29" s="641">
        <v>0.2</v>
      </c>
      <c r="G29" s="640">
        <f t="shared" si="4"/>
        <v>0</v>
      </c>
      <c r="H29" s="641">
        <v>0</v>
      </c>
      <c r="I29" s="640">
        <f>ORÇ!G30</f>
        <v>8484.49</v>
      </c>
      <c r="J29" s="107">
        <f t="shared" si="1"/>
        <v>0.027686015770262924</v>
      </c>
      <c r="K29" s="105"/>
      <c r="L29" s="108">
        <f t="shared" si="0"/>
        <v>1</v>
      </c>
    </row>
    <row r="30" spans="1:12" s="87" customFormat="1" ht="15.75" thickBot="1">
      <c r="A30" s="557"/>
      <c r="B30" s="465"/>
      <c r="C30" s="648"/>
      <c r="D30" s="649"/>
      <c r="E30" s="648"/>
      <c r="F30" s="649"/>
      <c r="G30" s="648"/>
      <c r="H30" s="649"/>
      <c r="I30" s="648"/>
      <c r="J30" s="120"/>
      <c r="K30" s="105"/>
      <c r="L30" s="108">
        <f t="shared" si="0"/>
        <v>0</v>
      </c>
    </row>
    <row r="31" spans="1:12" s="87" customFormat="1" ht="15">
      <c r="A31" s="642" t="s">
        <v>58</v>
      </c>
      <c r="B31" s="643" t="str">
        <f>MEMORIAL!B34</f>
        <v>PAVIMENTAÇÃO ASFÁLTICA</v>
      </c>
      <c r="C31" s="644">
        <f>SUM(C32:C37)</f>
        <v>53202.89600000001</v>
      </c>
      <c r="D31" s="645">
        <f>C31/I31</f>
        <v>0.35266604330370704</v>
      </c>
      <c r="E31" s="644">
        <f>SUM(E32:E37)</f>
        <v>97656.24399999999</v>
      </c>
      <c r="F31" s="645">
        <f>E31/I31</f>
        <v>0.6473339566962929</v>
      </c>
      <c r="G31" s="644">
        <f>SUM(G32:G36)</f>
        <v>0</v>
      </c>
      <c r="H31" s="645">
        <f>G31/I31</f>
        <v>0</v>
      </c>
      <c r="I31" s="644">
        <f>SUM(I32:I37)</f>
        <v>150859.14</v>
      </c>
      <c r="J31" s="104">
        <f aca="true" t="shared" si="5" ref="J31:J37">I31/$I$64</f>
        <v>0.49227337519736636</v>
      </c>
      <c r="K31" s="105"/>
      <c r="L31" s="108">
        <f t="shared" si="0"/>
        <v>1</v>
      </c>
    </row>
    <row r="32" spans="1:12" s="87" customFormat="1" ht="15">
      <c r="A32" s="510" t="s">
        <v>59</v>
      </c>
      <c r="B32" s="420" t="str">
        <f>MEMORIAL!B35</f>
        <v>Regularização e compactação de até 20 cm</v>
      </c>
      <c r="C32" s="640">
        <f aca="true" t="shared" si="6" ref="C32:C37">D32*I32</f>
        <v>1471.968</v>
      </c>
      <c r="D32" s="641">
        <v>0.4</v>
      </c>
      <c r="E32" s="640">
        <f aca="true" t="shared" si="7" ref="E32:E37">I32*F32</f>
        <v>2207.9519999999998</v>
      </c>
      <c r="F32" s="641">
        <v>0.6</v>
      </c>
      <c r="G32" s="640">
        <f aca="true" t="shared" si="8" ref="G32:G37">I32*H32</f>
        <v>0</v>
      </c>
      <c r="H32" s="641">
        <v>0</v>
      </c>
      <c r="I32" s="640">
        <f>ORÇ!G33</f>
        <v>3679.92</v>
      </c>
      <c r="J32" s="107">
        <f t="shared" si="5"/>
        <v>0.01200806685532141</v>
      </c>
      <c r="K32" s="105"/>
      <c r="L32" s="108">
        <f t="shared" si="0"/>
        <v>1</v>
      </c>
    </row>
    <row r="33" spans="1:12" s="87" customFormat="1" ht="15">
      <c r="A33" s="510" t="s">
        <v>307</v>
      </c>
      <c r="B33" s="420" t="str">
        <f>MEMORIAL!B36</f>
        <v>Colocação de meio-fio externo (12x15x30x80) - incluindo rejunte e reaterro - fck=25MPa</v>
      </c>
      <c r="C33" s="640">
        <f t="shared" si="6"/>
        <v>9709</v>
      </c>
      <c r="D33" s="641">
        <v>0.4</v>
      </c>
      <c r="E33" s="640">
        <f t="shared" si="7"/>
        <v>14563.5</v>
      </c>
      <c r="F33" s="641">
        <v>0.6</v>
      </c>
      <c r="G33" s="640">
        <f t="shared" si="8"/>
        <v>0</v>
      </c>
      <c r="H33" s="641">
        <v>0</v>
      </c>
      <c r="I33" s="640">
        <f>ORÇ!G34</f>
        <v>24272.5</v>
      </c>
      <c r="J33" s="107">
        <f t="shared" si="5"/>
        <v>0.07920438562408665</v>
      </c>
      <c r="K33" s="105"/>
      <c r="L33" s="108">
        <f t="shared" si="0"/>
        <v>1</v>
      </c>
    </row>
    <row r="34" spans="1:12" s="87" customFormat="1" ht="15">
      <c r="A34" s="510" t="s">
        <v>308</v>
      </c>
      <c r="B34" s="420" t="str">
        <f>MEMORIAL!B37</f>
        <v>Base de camada de brita graduada - h=15 cm</v>
      </c>
      <c r="C34" s="640">
        <f t="shared" si="6"/>
        <v>20599.648</v>
      </c>
      <c r="D34" s="641">
        <v>0.4</v>
      </c>
      <c r="E34" s="640">
        <f t="shared" si="7"/>
        <v>30899.472</v>
      </c>
      <c r="F34" s="641">
        <v>0.6</v>
      </c>
      <c r="G34" s="640">
        <f t="shared" si="8"/>
        <v>0</v>
      </c>
      <c r="H34" s="641">
        <v>0</v>
      </c>
      <c r="I34" s="640">
        <f>ORÇ!G35</f>
        <v>51499.12</v>
      </c>
      <c r="J34" s="107">
        <f t="shared" si="5"/>
        <v>0.16804845647465705</v>
      </c>
      <c r="K34" s="105"/>
      <c r="L34" s="108">
        <f t="shared" si="0"/>
        <v>1</v>
      </c>
    </row>
    <row r="35" spans="1:12" s="87" customFormat="1" ht="15">
      <c r="A35" s="510" t="s">
        <v>309</v>
      </c>
      <c r="B35" s="420" t="str">
        <f>MEMORIAL!B38</f>
        <v>Imprimação com CM-30 - 1,2 l/m2</v>
      </c>
      <c r="C35" s="640">
        <f t="shared" si="6"/>
        <v>2421</v>
      </c>
      <c r="D35" s="641">
        <v>0.3</v>
      </c>
      <c r="E35" s="640">
        <f t="shared" si="7"/>
        <v>5649</v>
      </c>
      <c r="F35" s="641">
        <v>0.7</v>
      </c>
      <c r="G35" s="640">
        <f t="shared" si="8"/>
        <v>0</v>
      </c>
      <c r="H35" s="641">
        <v>0</v>
      </c>
      <c r="I35" s="640">
        <f>ORÇ!G36</f>
        <v>8070</v>
      </c>
      <c r="J35" s="107">
        <f t="shared" si="5"/>
        <v>0.026333479945880284</v>
      </c>
      <c r="K35" s="105"/>
      <c r="L35" s="108">
        <f t="shared" si="0"/>
        <v>1</v>
      </c>
    </row>
    <row r="36" spans="1:12" s="87" customFormat="1" ht="15">
      <c r="A36" s="510" t="s">
        <v>310</v>
      </c>
      <c r="B36" s="420" t="str">
        <f>MEMORIAL!B39</f>
        <v>Pintura de ligação RR-2C  - 1,0 a 1,20 l/m2</v>
      </c>
      <c r="C36" s="640">
        <f t="shared" si="6"/>
        <v>936.12</v>
      </c>
      <c r="D36" s="641">
        <v>0.3</v>
      </c>
      <c r="E36" s="640">
        <f t="shared" si="7"/>
        <v>2184.2799999999997</v>
      </c>
      <c r="F36" s="641">
        <v>0.7</v>
      </c>
      <c r="G36" s="640">
        <f t="shared" si="8"/>
        <v>0</v>
      </c>
      <c r="H36" s="641">
        <v>0</v>
      </c>
      <c r="I36" s="640">
        <f>ORÇ!G37</f>
        <v>3120.4</v>
      </c>
      <c r="J36" s="107">
        <f t="shared" si="5"/>
        <v>0.010182278912407043</v>
      </c>
      <c r="K36" s="105"/>
      <c r="L36" s="108">
        <f t="shared" si="0"/>
        <v>1</v>
      </c>
    </row>
    <row r="37" spans="1:12" s="87" customFormat="1" ht="15">
      <c r="A37" s="510" t="s">
        <v>317</v>
      </c>
      <c r="B37" s="420" t="str">
        <f>MEMORIAL!B40</f>
        <v>Camada de CAUQ - esp=5,0cm</v>
      </c>
      <c r="C37" s="640">
        <f t="shared" si="6"/>
        <v>18065.16</v>
      </c>
      <c r="D37" s="641">
        <v>0.3</v>
      </c>
      <c r="E37" s="640">
        <f t="shared" si="7"/>
        <v>42152.03999999999</v>
      </c>
      <c r="F37" s="641">
        <v>0.7</v>
      </c>
      <c r="G37" s="640">
        <f t="shared" si="8"/>
        <v>0</v>
      </c>
      <c r="H37" s="641">
        <v>0</v>
      </c>
      <c r="I37" s="640">
        <f>ORÇ!G38</f>
        <v>60217.2</v>
      </c>
      <c r="J37" s="107">
        <f t="shared" si="5"/>
        <v>0.1964967073850139</v>
      </c>
      <c r="K37" s="105"/>
      <c r="L37" s="108">
        <f t="shared" si="0"/>
        <v>1</v>
      </c>
    </row>
    <row r="38" spans="1:12" s="87" customFormat="1" ht="15.75" thickBot="1">
      <c r="A38" s="557"/>
      <c r="B38" s="465"/>
      <c r="C38" s="648"/>
      <c r="D38" s="649"/>
      <c r="E38" s="648"/>
      <c r="F38" s="649"/>
      <c r="G38" s="648"/>
      <c r="H38" s="649"/>
      <c r="I38" s="648"/>
      <c r="J38" s="120"/>
      <c r="K38" s="105"/>
      <c r="L38" s="108">
        <f t="shared" si="0"/>
        <v>0</v>
      </c>
    </row>
    <row r="39" spans="1:12" s="87" customFormat="1" ht="15">
      <c r="A39" s="642" t="str">
        <f>ORÇ!A40</f>
        <v>4.0</v>
      </c>
      <c r="B39" s="643" t="str">
        <f>ORÇ!C40</f>
        <v>PAVIMENTAÇÃO PASSEIO</v>
      </c>
      <c r="C39" s="644">
        <f>SUM(C40:C45)</f>
        <v>0</v>
      </c>
      <c r="D39" s="645">
        <f>C39/I39</f>
        <v>0</v>
      </c>
      <c r="E39" s="644">
        <f>SUM(E40:E45)</f>
        <v>42389.50000000001</v>
      </c>
      <c r="F39" s="645">
        <f>E39/I39</f>
        <v>1</v>
      </c>
      <c r="G39" s="644">
        <f>SUM(G40:G45)</f>
        <v>0</v>
      </c>
      <c r="H39" s="645">
        <f>G39/I39</f>
        <v>0</v>
      </c>
      <c r="I39" s="644">
        <f>SUM(I40:I45)</f>
        <v>42389.50000000001</v>
      </c>
      <c r="J39" s="104">
        <f aca="true" t="shared" si="9" ref="J39:J45">I39/$I$64</f>
        <v>0.13832255863270043</v>
      </c>
      <c r="K39" s="105"/>
      <c r="L39" s="108">
        <f t="shared" si="0"/>
        <v>1</v>
      </c>
    </row>
    <row r="40" spans="1:12" s="87" customFormat="1" ht="15">
      <c r="A40" s="510" t="str">
        <f>ORÇ!A41</f>
        <v>4.1</v>
      </c>
      <c r="B40" s="420" t="str">
        <f>ORÇ!C41</f>
        <v>Material para aterro/reaterro (barro, argila ou saibro) - com transporte até 10 km</v>
      </c>
      <c r="C40" s="640">
        <f aca="true" t="shared" si="10" ref="C40:C45">D40*I40</f>
        <v>0</v>
      </c>
      <c r="D40" s="641">
        <v>0</v>
      </c>
      <c r="E40" s="640">
        <f aca="true" t="shared" si="11" ref="E40:E45">F40*I40</f>
        <v>619.62</v>
      </c>
      <c r="F40" s="641">
        <v>1</v>
      </c>
      <c r="G40" s="640">
        <f aca="true" t="shared" si="12" ref="G40:G45">H40*I40</f>
        <v>0</v>
      </c>
      <c r="H40" s="641">
        <v>0</v>
      </c>
      <c r="I40" s="640">
        <f>ORÇ!G41</f>
        <v>619.62</v>
      </c>
      <c r="J40" s="107">
        <f t="shared" si="9"/>
        <v>0.002021902211160637</v>
      </c>
      <c r="K40" s="105"/>
      <c r="L40" s="108">
        <f t="shared" si="0"/>
        <v>1</v>
      </c>
    </row>
    <row r="41" spans="1:12" s="87" customFormat="1" ht="15">
      <c r="A41" s="510" t="str">
        <f>ORÇ!A42</f>
        <v>4.2</v>
      </c>
      <c r="B41" s="420" t="str">
        <f>ORÇ!C42</f>
        <v>Regularização e compactação manual de terreno com soquete</v>
      </c>
      <c r="C41" s="640">
        <f t="shared" si="10"/>
        <v>0</v>
      </c>
      <c r="D41" s="641">
        <v>0</v>
      </c>
      <c r="E41" s="640">
        <f t="shared" si="11"/>
        <v>1956.24</v>
      </c>
      <c r="F41" s="641">
        <v>1</v>
      </c>
      <c r="G41" s="640">
        <f t="shared" si="12"/>
        <v>0</v>
      </c>
      <c r="H41" s="641">
        <v>0</v>
      </c>
      <c r="I41" s="640">
        <f>ORÇ!G42</f>
        <v>1956.24</v>
      </c>
      <c r="J41" s="107">
        <f t="shared" si="9"/>
        <v>0.006383470484427367</v>
      </c>
      <c r="K41" s="105"/>
      <c r="L41" s="108">
        <f t="shared" si="0"/>
        <v>1</v>
      </c>
    </row>
    <row r="42" spans="1:12" s="87" customFormat="1" ht="15">
      <c r="A42" s="510" t="str">
        <f>ORÇ!A43</f>
        <v>4.3</v>
      </c>
      <c r="B42" s="420" t="str">
        <f>ORÇ!C43</f>
        <v>Meio-fio interno 15 x 30 x 80 cm - incluindo rejunte e reaterro - fck=25 MPa</v>
      </c>
      <c r="C42" s="640">
        <f t="shared" si="10"/>
        <v>0</v>
      </c>
      <c r="D42" s="641">
        <v>0</v>
      </c>
      <c r="E42" s="640">
        <f t="shared" si="11"/>
        <v>13614.5</v>
      </c>
      <c r="F42" s="641">
        <v>1</v>
      </c>
      <c r="G42" s="640">
        <f t="shared" si="12"/>
        <v>0</v>
      </c>
      <c r="H42" s="641">
        <v>0</v>
      </c>
      <c r="I42" s="640">
        <f>ORÇ!G43</f>
        <v>13614.5</v>
      </c>
      <c r="J42" s="107">
        <f t="shared" si="9"/>
        <v>0.04442591855305912</v>
      </c>
      <c r="K42" s="105"/>
      <c r="L42" s="108">
        <f t="shared" si="0"/>
        <v>1</v>
      </c>
    </row>
    <row r="43" spans="1:12" s="87" customFormat="1" ht="15">
      <c r="A43" s="510" t="str">
        <f>ORÇ!A44</f>
        <v>4.4</v>
      </c>
      <c r="B43" s="420" t="str">
        <f>ORÇ!C44</f>
        <v>Pavimento intertravado paver holand cinza 20 x 10 x 6 cm fck=35 MPa</v>
      </c>
      <c r="C43" s="640">
        <f t="shared" si="10"/>
        <v>0</v>
      </c>
      <c r="D43" s="641">
        <v>0</v>
      </c>
      <c r="E43" s="640">
        <f t="shared" si="11"/>
        <v>19541.02</v>
      </c>
      <c r="F43" s="641">
        <v>1</v>
      </c>
      <c r="G43" s="640">
        <f t="shared" si="12"/>
        <v>0</v>
      </c>
      <c r="H43" s="641">
        <v>0</v>
      </c>
      <c r="I43" s="640">
        <f>ORÇ!G44</f>
        <v>19541.02</v>
      </c>
      <c r="J43" s="107">
        <f t="shared" si="9"/>
        <v>0.0637649390696463</v>
      </c>
      <c r="K43" s="105"/>
      <c r="L43" s="108">
        <f t="shared" si="0"/>
        <v>1</v>
      </c>
    </row>
    <row r="44" spans="1:12" s="87" customFormat="1" ht="15">
      <c r="A44" s="510" t="str">
        <f>ORÇ!A45</f>
        <v>4.5</v>
      </c>
      <c r="B44" s="420" t="str">
        <f>ORÇ!C45</f>
        <v>Sinalização tátil direcional 20 x 20 x 6 cm fck=35 MPa</v>
      </c>
      <c r="C44" s="640">
        <f t="shared" si="10"/>
        <v>0</v>
      </c>
      <c r="D44" s="641">
        <v>0</v>
      </c>
      <c r="E44" s="640">
        <f t="shared" si="11"/>
        <v>6154.89</v>
      </c>
      <c r="F44" s="641">
        <v>1</v>
      </c>
      <c r="G44" s="640">
        <f t="shared" si="12"/>
        <v>0</v>
      </c>
      <c r="H44" s="641">
        <v>0</v>
      </c>
      <c r="I44" s="640">
        <f>ORÇ!G45</f>
        <v>6154.89</v>
      </c>
      <c r="J44" s="107">
        <f t="shared" si="9"/>
        <v>0.020084222104597163</v>
      </c>
      <c r="K44" s="105"/>
      <c r="L44" s="108">
        <f t="shared" si="0"/>
        <v>1</v>
      </c>
    </row>
    <row r="45" spans="1:12" s="87" customFormat="1" ht="15">
      <c r="A45" s="510" t="str">
        <f>ORÇ!A46</f>
        <v>4.6</v>
      </c>
      <c r="B45" s="420" t="str">
        <f>ORÇ!C46</f>
        <v>Sinalização tátil de alerta 20 x 20 x 6 cm fck=35 MPa</v>
      </c>
      <c r="C45" s="640">
        <f t="shared" si="10"/>
        <v>0</v>
      </c>
      <c r="D45" s="641">
        <v>0</v>
      </c>
      <c r="E45" s="640">
        <f t="shared" si="11"/>
        <v>503.23</v>
      </c>
      <c r="F45" s="641">
        <v>1</v>
      </c>
      <c r="G45" s="640">
        <f t="shared" si="12"/>
        <v>0</v>
      </c>
      <c r="H45" s="641">
        <v>0</v>
      </c>
      <c r="I45" s="640">
        <f>ORÇ!G46</f>
        <v>503.23</v>
      </c>
      <c r="J45" s="107">
        <f t="shared" si="9"/>
        <v>0.001642106209809831</v>
      </c>
      <c r="K45" s="105"/>
      <c r="L45" s="108">
        <f t="shared" si="0"/>
        <v>1</v>
      </c>
    </row>
    <row r="46" spans="1:12" s="87" customFormat="1" ht="15.75" thickBot="1">
      <c r="A46" s="557"/>
      <c r="B46" s="465"/>
      <c r="C46" s="648"/>
      <c r="D46" s="649"/>
      <c r="E46" s="648"/>
      <c r="F46" s="649"/>
      <c r="G46" s="648"/>
      <c r="H46" s="649"/>
      <c r="I46" s="648"/>
      <c r="J46" s="120"/>
      <c r="K46" s="105"/>
      <c r="L46" s="108">
        <f t="shared" si="0"/>
        <v>0</v>
      </c>
    </row>
    <row r="47" spans="1:12" s="87" customFormat="1" ht="15">
      <c r="A47" s="642" t="str">
        <f>ORÇ!A48</f>
        <v>5.0</v>
      </c>
      <c r="B47" s="643" t="str">
        <f>ORÇ!C48</f>
        <v>RAMPA ACESSO PASSEIO DEFICIENTE FÍSICO</v>
      </c>
      <c r="C47" s="644">
        <f>SUM(C48:C50)</f>
        <v>0</v>
      </c>
      <c r="D47" s="645">
        <f>C47/I47</f>
        <v>0</v>
      </c>
      <c r="E47" s="644">
        <f>SUM(E48:E50)</f>
        <v>928.77</v>
      </c>
      <c r="F47" s="645">
        <f>E47/I47</f>
        <v>1</v>
      </c>
      <c r="G47" s="644">
        <f>SUM(G48:G50)</f>
        <v>0</v>
      </c>
      <c r="H47" s="645">
        <f>G47/I47</f>
        <v>0</v>
      </c>
      <c r="I47" s="644">
        <f>SUM(I48:I50)</f>
        <v>928.77</v>
      </c>
      <c r="J47" s="104">
        <f>I47/$I$64</f>
        <v>0.003030699649236088</v>
      </c>
      <c r="K47" s="105"/>
      <c r="L47" s="108">
        <f t="shared" si="0"/>
        <v>1</v>
      </c>
    </row>
    <row r="48" spans="1:12" s="87" customFormat="1" ht="15">
      <c r="A48" s="510" t="str">
        <f>ORÇ!A49</f>
        <v>5.1</v>
      </c>
      <c r="B48" s="420" t="str">
        <f>ORÇ!C49</f>
        <v>Concreto simples h=7 cm, virado em betoneira fck=20 MPa</v>
      </c>
      <c r="C48" s="640">
        <f>D48*I48</f>
        <v>0</v>
      </c>
      <c r="D48" s="641">
        <v>0</v>
      </c>
      <c r="E48" s="640">
        <f>F48*I48</f>
        <v>875.02</v>
      </c>
      <c r="F48" s="641">
        <v>1</v>
      </c>
      <c r="G48" s="640">
        <f>H48*I48</f>
        <v>0</v>
      </c>
      <c r="H48" s="641">
        <v>0</v>
      </c>
      <c r="I48" s="640">
        <f>ORÇ!G49</f>
        <v>875.02</v>
      </c>
      <c r="J48" s="107">
        <f>I48/$I$64</f>
        <v>0.0028553062728927095</v>
      </c>
      <c r="K48" s="105"/>
      <c r="L48" s="108">
        <f t="shared" si="0"/>
        <v>1</v>
      </c>
    </row>
    <row r="49" spans="1:12" s="87" customFormat="1" ht="15">
      <c r="A49" s="510" t="str">
        <f>ORÇ!A50</f>
        <v>5.2</v>
      </c>
      <c r="B49" s="420" t="str">
        <f>ORÇ!C50</f>
        <v>Pintura símbolo Deficiente Físico - Cor fundo azul 60 x 60 cm</v>
      </c>
      <c r="C49" s="640">
        <f>D49*I49</f>
        <v>0</v>
      </c>
      <c r="D49" s="641">
        <v>0</v>
      </c>
      <c r="E49" s="640">
        <f>F49*I49</f>
        <v>47.3</v>
      </c>
      <c r="F49" s="641">
        <v>1</v>
      </c>
      <c r="G49" s="640">
        <f>H49*I49</f>
        <v>0</v>
      </c>
      <c r="H49" s="641">
        <v>0</v>
      </c>
      <c r="I49" s="640">
        <f>ORÇ!G50</f>
        <v>47.3</v>
      </c>
      <c r="J49" s="107">
        <f>I49/$I$64</f>
        <v>0.00015434617118217315</v>
      </c>
      <c r="K49" s="105"/>
      <c r="L49" s="108">
        <f t="shared" si="0"/>
        <v>1</v>
      </c>
    </row>
    <row r="50" spans="1:12" s="87" customFormat="1" ht="15">
      <c r="A50" s="510" t="str">
        <f>ORÇ!A51</f>
        <v>5.3</v>
      </c>
      <c r="B50" s="420" t="str">
        <f>ORÇ!C51</f>
        <v>Pintura símbolo Deficiente Físico - Pictograma cor branca</v>
      </c>
      <c r="C50" s="640">
        <f>D50*I50</f>
        <v>0</v>
      </c>
      <c r="D50" s="641">
        <v>0</v>
      </c>
      <c r="E50" s="640">
        <f>F50*I50</f>
        <v>6.45</v>
      </c>
      <c r="F50" s="641">
        <v>1</v>
      </c>
      <c r="G50" s="640">
        <f>H50*I50</f>
        <v>0</v>
      </c>
      <c r="H50" s="641">
        <v>0</v>
      </c>
      <c r="I50" s="640">
        <f>ORÇ!G51</f>
        <v>6.45</v>
      </c>
      <c r="J50" s="107">
        <f>I50/$I$64</f>
        <v>2.104720516120543E-05</v>
      </c>
      <c r="K50" s="105"/>
      <c r="L50" s="108">
        <f t="shared" si="0"/>
        <v>1</v>
      </c>
    </row>
    <row r="51" spans="1:12" s="87" customFormat="1" ht="15.75" thickBot="1">
      <c r="A51" s="557"/>
      <c r="B51" s="465"/>
      <c r="C51" s="648"/>
      <c r="D51" s="649"/>
      <c r="E51" s="648"/>
      <c r="F51" s="649"/>
      <c r="G51" s="648"/>
      <c r="H51" s="649"/>
      <c r="I51" s="648"/>
      <c r="J51" s="120"/>
      <c r="K51" s="105"/>
      <c r="L51" s="108">
        <f t="shared" si="0"/>
        <v>0</v>
      </c>
    </row>
    <row r="52" spans="1:12" s="87" customFormat="1" ht="15">
      <c r="A52" s="642" t="str">
        <f>ORÇ!A53</f>
        <v>6.0</v>
      </c>
      <c r="B52" s="709" t="str">
        <f>ORÇ!C53</f>
        <v>FAIXA ELEVADA DE TRAVESSIA DE PEDESTRE</v>
      </c>
      <c r="C52" s="644">
        <f>SUM(C53:C54)</f>
        <v>0</v>
      </c>
      <c r="D52" s="645">
        <f>C52/I52</f>
        <v>0</v>
      </c>
      <c r="E52" s="644">
        <f>SUM(E53:E54)</f>
        <v>3805.4500000000003</v>
      </c>
      <c r="F52" s="645">
        <f>E52/I52</f>
        <v>1</v>
      </c>
      <c r="G52" s="644">
        <f>SUM(G53:G54)</f>
        <v>0</v>
      </c>
      <c r="H52" s="645">
        <f>G52/I52</f>
        <v>0</v>
      </c>
      <c r="I52" s="644">
        <f>SUM(I53:I54)</f>
        <v>3805.4500000000003</v>
      </c>
      <c r="J52" s="104">
        <f>I52/$I$64</f>
        <v>0.012417687888482049</v>
      </c>
      <c r="K52" s="105"/>
      <c r="L52" s="108"/>
    </row>
    <row r="53" spans="1:12" s="87" customFormat="1" ht="15">
      <c r="A53" s="510" t="str">
        <f>ORÇ!A54</f>
        <v>6.1</v>
      </c>
      <c r="B53" s="420" t="str">
        <f>ORÇ!C54</f>
        <v>Pintura de ligação n°1 RR-2C </v>
      </c>
      <c r="C53" s="640">
        <f>D53*I53</f>
        <v>0</v>
      </c>
      <c r="D53" s="641">
        <v>0</v>
      </c>
      <c r="E53" s="640">
        <f>F53*I53</f>
        <v>71.05</v>
      </c>
      <c r="F53" s="641">
        <v>1</v>
      </c>
      <c r="G53" s="640">
        <f>H53*I53</f>
        <v>0</v>
      </c>
      <c r="H53" s="641">
        <v>0</v>
      </c>
      <c r="I53" s="640">
        <f>ORÇ!G54</f>
        <v>71.05</v>
      </c>
      <c r="J53" s="107">
        <f>I53/$I$64</f>
        <v>0.000231845570031573</v>
      </c>
      <c r="K53" s="105"/>
      <c r="L53" s="108"/>
    </row>
    <row r="54" spans="1:12" s="87" customFormat="1" ht="15">
      <c r="A54" s="510" t="str">
        <f>ORÇ!A55</f>
        <v>6.2</v>
      </c>
      <c r="B54" s="420" t="str">
        <f>ORÇ!C55</f>
        <v>Camada  final com CAUQ</v>
      </c>
      <c r="C54" s="640">
        <f>D54*I54</f>
        <v>0</v>
      </c>
      <c r="D54" s="641">
        <v>0</v>
      </c>
      <c r="E54" s="640">
        <f>F54*I54</f>
        <v>3734.4</v>
      </c>
      <c r="F54" s="641">
        <v>1</v>
      </c>
      <c r="G54" s="640">
        <f>H54*I54</f>
        <v>0</v>
      </c>
      <c r="H54" s="641">
        <v>0</v>
      </c>
      <c r="I54" s="640">
        <f>ORÇ!G55</f>
        <v>3734.4</v>
      </c>
      <c r="J54" s="107">
        <f>I54/$I$64</f>
        <v>0.012185842318450475</v>
      </c>
      <c r="K54" s="105"/>
      <c r="L54" s="108"/>
    </row>
    <row r="55" spans="1:12" s="87" customFormat="1" ht="15.75" thickBot="1">
      <c r="A55" s="412"/>
      <c r="B55" s="432"/>
      <c r="C55" s="646"/>
      <c r="D55" s="647"/>
      <c r="E55" s="646"/>
      <c r="F55" s="647"/>
      <c r="G55" s="646"/>
      <c r="H55" s="647"/>
      <c r="I55" s="646"/>
      <c r="J55" s="262"/>
      <c r="K55" s="105"/>
      <c r="L55" s="108"/>
    </row>
    <row r="56" spans="1:12" s="87" customFormat="1" ht="15">
      <c r="A56" s="719" t="str">
        <f>ORÇ!A57</f>
        <v>7.0</v>
      </c>
      <c r="B56" s="720" t="str">
        <f>MEMORIAL!B59</f>
        <v>SINALIZAÇÃO</v>
      </c>
      <c r="C56" s="721">
        <f>SUM(C60:C63)</f>
        <v>0</v>
      </c>
      <c r="D56" s="722">
        <f>C56/I56</f>
        <v>0</v>
      </c>
      <c r="E56" s="721">
        <f>SUM(E57:E63)</f>
        <v>6085.660000000001</v>
      </c>
      <c r="F56" s="722">
        <f>E56/I56</f>
        <v>1</v>
      </c>
      <c r="G56" s="721">
        <f>SUM(G60:G63)</f>
        <v>0</v>
      </c>
      <c r="H56" s="722">
        <f>G56/I56</f>
        <v>0</v>
      </c>
      <c r="I56" s="721">
        <f>SUM(I57:I63)</f>
        <v>6085.660000000001</v>
      </c>
      <c r="J56" s="723">
        <f aca="true" t="shared" si="13" ref="J56:J63">I56/$I$64</f>
        <v>0.019858315435866893</v>
      </c>
      <c r="K56" s="105"/>
      <c r="L56" s="108">
        <f t="shared" si="0"/>
        <v>1</v>
      </c>
    </row>
    <row r="57" spans="1:12" s="87" customFormat="1" ht="15">
      <c r="A57" s="510" t="s">
        <v>453</v>
      </c>
      <c r="B57" s="420" t="str">
        <f>ORÇ!C58</f>
        <v>Pintura faixa de travessia de pedestres zebrada - FTP-1 cor branca</v>
      </c>
      <c r="C57" s="640">
        <f aca="true" t="shared" si="14" ref="C57:C63">I57*D57</f>
        <v>0</v>
      </c>
      <c r="D57" s="641">
        <v>0</v>
      </c>
      <c r="E57" s="640">
        <f aca="true" t="shared" si="15" ref="E57:E63">I57*F57</f>
        <v>1156.7</v>
      </c>
      <c r="F57" s="641">
        <v>1</v>
      </c>
      <c r="G57" s="640">
        <f aca="true" t="shared" si="16" ref="G57:G63">I57*H57</f>
        <v>0</v>
      </c>
      <c r="H57" s="641">
        <v>0</v>
      </c>
      <c r="I57" s="640">
        <f>ORÇ!G58</f>
        <v>1156.7</v>
      </c>
      <c r="J57" s="107">
        <f t="shared" si="13"/>
        <v>0.0037744654589095075</v>
      </c>
      <c r="K57" s="105"/>
      <c r="L57" s="108">
        <f t="shared" si="0"/>
        <v>1</v>
      </c>
    </row>
    <row r="58" spans="1:12" s="87" customFormat="1" ht="15">
      <c r="A58" s="510" t="s">
        <v>454</v>
      </c>
      <c r="B58" s="420" t="str">
        <f>ORÇ!C59</f>
        <v>Pintura da linha de bordo - LBO cor branca</v>
      </c>
      <c r="C58" s="640">
        <f t="shared" si="14"/>
        <v>0</v>
      </c>
      <c r="D58" s="641">
        <v>0</v>
      </c>
      <c r="E58" s="640">
        <f t="shared" si="15"/>
        <v>1593.15</v>
      </c>
      <c r="F58" s="641">
        <v>1</v>
      </c>
      <c r="G58" s="640">
        <f t="shared" si="16"/>
        <v>0</v>
      </c>
      <c r="H58" s="641">
        <v>0</v>
      </c>
      <c r="I58" s="640">
        <f>ORÇ!G59</f>
        <v>1593.15</v>
      </c>
      <c r="J58" s="107">
        <f t="shared" si="13"/>
        <v>0.005198659674817742</v>
      </c>
      <c r="K58" s="105"/>
      <c r="L58" s="108">
        <f t="shared" si="0"/>
        <v>1</v>
      </c>
    </row>
    <row r="59" spans="1:12" s="87" customFormat="1" ht="15">
      <c r="A59" s="510" t="s">
        <v>455</v>
      </c>
      <c r="B59" s="420" t="str">
        <f>ORÇ!C60</f>
        <v>Pintura da linha simples contínua - LFO-1 cor amarela</v>
      </c>
      <c r="C59" s="640">
        <f t="shared" si="14"/>
        <v>0</v>
      </c>
      <c r="D59" s="641">
        <v>0</v>
      </c>
      <c r="E59" s="640">
        <f t="shared" si="15"/>
        <v>821.3</v>
      </c>
      <c r="F59" s="641">
        <v>1</v>
      </c>
      <c r="G59" s="640">
        <f t="shared" si="16"/>
        <v>0</v>
      </c>
      <c r="H59" s="641">
        <v>0</v>
      </c>
      <c r="I59" s="640">
        <f>ORÇ!G60</f>
        <v>821.3</v>
      </c>
      <c r="J59" s="107">
        <f t="shared" si="13"/>
        <v>0.002680010790526825</v>
      </c>
      <c r="K59" s="105"/>
      <c r="L59" s="108">
        <f t="shared" si="0"/>
        <v>1</v>
      </c>
    </row>
    <row r="60" spans="1:12" s="87" customFormat="1" ht="15">
      <c r="A60" s="510" t="s">
        <v>456</v>
      </c>
      <c r="B60" s="420" t="str">
        <f>MEMORIAL!B63</f>
        <v>Placa regulamentadora R-1 - (Parada obrigatória)</v>
      </c>
      <c r="C60" s="640">
        <f t="shared" si="14"/>
        <v>0</v>
      </c>
      <c r="D60" s="641">
        <v>0</v>
      </c>
      <c r="E60" s="640">
        <f t="shared" si="15"/>
        <v>475.5</v>
      </c>
      <c r="F60" s="641">
        <v>1</v>
      </c>
      <c r="G60" s="640">
        <f t="shared" si="16"/>
        <v>0</v>
      </c>
      <c r="H60" s="641">
        <v>0</v>
      </c>
      <c r="I60" s="640">
        <f>ORÇ!G61</f>
        <v>475.5</v>
      </c>
      <c r="J60" s="107">
        <f t="shared" si="13"/>
        <v>0.0015516195432795632</v>
      </c>
      <c r="K60" s="105"/>
      <c r="L60" s="108">
        <f t="shared" si="0"/>
        <v>1</v>
      </c>
    </row>
    <row r="61" spans="1:12" s="87" customFormat="1" ht="15">
      <c r="A61" s="510" t="s">
        <v>457</v>
      </c>
      <c r="B61" s="420" t="str">
        <f>MEMORIAL!B64</f>
        <v>Placa de advertência A-32b - (Passagem sinalizada de pedestres)</v>
      </c>
      <c r="C61" s="640">
        <f t="shared" si="14"/>
        <v>0</v>
      </c>
      <c r="D61" s="641">
        <v>0</v>
      </c>
      <c r="E61" s="640">
        <f t="shared" si="15"/>
        <v>975.78</v>
      </c>
      <c r="F61" s="641">
        <v>1</v>
      </c>
      <c r="G61" s="640">
        <f t="shared" si="16"/>
        <v>0</v>
      </c>
      <c r="H61" s="641">
        <v>0</v>
      </c>
      <c r="I61" s="640">
        <f>ORÇ!G62</f>
        <v>975.78</v>
      </c>
      <c r="J61" s="107">
        <f t="shared" si="13"/>
        <v>0.003184099511969153</v>
      </c>
      <c r="K61" s="105"/>
      <c r="L61" s="108">
        <f t="shared" si="0"/>
        <v>1</v>
      </c>
    </row>
    <row r="62" spans="1:12" s="87" customFormat="1" ht="15">
      <c r="A62" s="510" t="s">
        <v>458</v>
      </c>
      <c r="B62" s="420" t="str">
        <f>MEMORIAL!B65</f>
        <v>Placa de advertência EA-2 - (Especial de advertência Indicativa de travessia elevada de pedestres)</v>
      </c>
      <c r="C62" s="640">
        <f>I62*D62</f>
        <v>0</v>
      </c>
      <c r="D62" s="641">
        <v>0</v>
      </c>
      <c r="E62" s="640">
        <f>I62*F62</f>
        <v>325.26</v>
      </c>
      <c r="F62" s="641">
        <v>1</v>
      </c>
      <c r="G62" s="640">
        <f>I62*H62</f>
        <v>0</v>
      </c>
      <c r="H62" s="641">
        <v>0</v>
      </c>
      <c r="I62" s="640">
        <f>ORÇ!G63</f>
        <v>325.26</v>
      </c>
      <c r="J62" s="107">
        <f>I62/$I$64</f>
        <v>0.0010613665039897176</v>
      </c>
      <c r="K62" s="105"/>
      <c r="L62" s="108"/>
    </row>
    <row r="63" spans="1:12" s="87" customFormat="1" ht="15.75" thickBot="1">
      <c r="A63" s="510" t="s">
        <v>461</v>
      </c>
      <c r="B63" s="432" t="str">
        <f>MEMORIAL!B66</f>
        <v>Placa de Identificação de rua</v>
      </c>
      <c r="C63" s="646">
        <f t="shared" si="14"/>
        <v>0</v>
      </c>
      <c r="D63" s="647">
        <v>0</v>
      </c>
      <c r="E63" s="646">
        <f t="shared" si="15"/>
        <v>737.97</v>
      </c>
      <c r="F63" s="647">
        <v>1</v>
      </c>
      <c r="G63" s="646">
        <f t="shared" si="16"/>
        <v>0</v>
      </c>
      <c r="H63" s="647">
        <v>0</v>
      </c>
      <c r="I63" s="646">
        <f>ORÇ!G64</f>
        <v>737.97</v>
      </c>
      <c r="J63" s="262">
        <f t="shared" si="13"/>
        <v>0.0024080939523743834</v>
      </c>
      <c r="K63" s="105"/>
      <c r="L63" s="108">
        <f t="shared" si="0"/>
        <v>1</v>
      </c>
    </row>
    <row r="64" spans="1:11" s="76" customFormat="1" ht="15.75">
      <c r="A64" s="1014" t="s">
        <v>206</v>
      </c>
      <c r="B64" s="1015"/>
      <c r="C64" s="1016">
        <f>C9+C12+C31+C56+C39+C47+C52</f>
        <v>148040.69</v>
      </c>
      <c r="D64" s="1017"/>
      <c r="E64" s="1016">
        <f>E9+E12+E31+E56+E39+E47+E52</f>
        <v>158413.30000000002</v>
      </c>
      <c r="F64" s="1017"/>
      <c r="G64" s="1016">
        <f>G9+G12+G31+G56+G39+G47+G52</f>
        <v>0</v>
      </c>
      <c r="H64" s="1017"/>
      <c r="I64" s="1020">
        <f>I9+I12+I31+I56+I39+I47+I52</f>
        <v>306453.9900000001</v>
      </c>
      <c r="J64" s="1021"/>
      <c r="K64" s="105"/>
    </row>
    <row r="65" spans="1:11" s="76" customFormat="1" ht="15.75">
      <c r="A65" s="1032" t="s">
        <v>207</v>
      </c>
      <c r="B65" s="1033"/>
      <c r="C65" s="1026">
        <f>C64</f>
        <v>148040.69</v>
      </c>
      <c r="D65" s="1027"/>
      <c r="E65" s="1026">
        <f>C65+E64</f>
        <v>306453.99</v>
      </c>
      <c r="F65" s="1027"/>
      <c r="G65" s="1026">
        <f>E65+G64</f>
        <v>306453.99</v>
      </c>
      <c r="H65" s="1027"/>
      <c r="I65" s="1022">
        <f>C64+E64+G64</f>
        <v>306453.99</v>
      </c>
      <c r="J65" s="1023"/>
      <c r="K65" s="105"/>
    </row>
    <row r="66" spans="1:11" s="76" customFormat="1" ht="15.75">
      <c r="A66" s="1032" t="s">
        <v>208</v>
      </c>
      <c r="B66" s="1033"/>
      <c r="C66" s="1034">
        <f>C64/$I$64</f>
        <v>0.4830763991684362</v>
      </c>
      <c r="D66" s="1035"/>
      <c r="E66" s="1034">
        <f>E64/$I$64</f>
        <v>0.5169236008315635</v>
      </c>
      <c r="F66" s="1035"/>
      <c r="G66" s="1034">
        <f>G64/$I$64</f>
        <v>0</v>
      </c>
      <c r="H66" s="1035"/>
      <c r="I66" s="1024">
        <f>I64/I65</f>
        <v>1.0000000000000004</v>
      </c>
      <c r="J66" s="1025"/>
      <c r="K66" s="105"/>
    </row>
    <row r="67" spans="1:11" s="76" customFormat="1" ht="16.5" thickBot="1">
      <c r="A67" s="1028" t="s">
        <v>209</v>
      </c>
      <c r="B67" s="1029"/>
      <c r="C67" s="1030">
        <f>C66</f>
        <v>0.4830763991684362</v>
      </c>
      <c r="D67" s="1031"/>
      <c r="E67" s="1030">
        <f>C67+E66</f>
        <v>0.9999999999999998</v>
      </c>
      <c r="F67" s="1031"/>
      <c r="G67" s="1030">
        <f>E67+G66</f>
        <v>0.9999999999999998</v>
      </c>
      <c r="H67" s="1031"/>
      <c r="I67" s="1018">
        <f>C66+E66+G66</f>
        <v>0.9999999999999998</v>
      </c>
      <c r="J67" s="1019"/>
      <c r="K67" s="105"/>
    </row>
    <row r="68" spans="1:10" ht="12.75">
      <c r="A68" s="989" t="str">
        <f>'dados de entrada'!B15</f>
        <v>PREFEITURA MUNICIPAL DE BOMBINHAS</v>
      </c>
      <c r="B68" s="990"/>
      <c r="C68" s="989" t="s">
        <v>200</v>
      </c>
      <c r="D68" s="990"/>
      <c r="E68" s="990"/>
      <c r="F68" s="990"/>
      <c r="G68" s="990"/>
      <c r="H68" s="990"/>
      <c r="I68" s="990"/>
      <c r="J68" s="966"/>
    </row>
    <row r="69" spans="1:10" ht="15" customHeight="1">
      <c r="A69" s="109"/>
      <c r="B69" s="110"/>
      <c r="C69" s="982" t="s">
        <v>213</v>
      </c>
      <c r="D69" s="983"/>
      <c r="E69" s="983"/>
      <c r="F69" s="983"/>
      <c r="G69" s="983"/>
      <c r="H69" s="983"/>
      <c r="I69" s="983"/>
      <c r="J69" s="984"/>
    </row>
    <row r="70" spans="1:10" ht="12.75" customHeight="1">
      <c r="A70" s="111"/>
      <c r="B70" s="110"/>
      <c r="C70" s="982"/>
      <c r="D70" s="983"/>
      <c r="E70" s="983"/>
      <c r="F70" s="983"/>
      <c r="G70" s="983"/>
      <c r="H70" s="983"/>
      <c r="I70" s="983"/>
      <c r="J70" s="984"/>
    </row>
    <row r="71" spans="1:10" ht="12.75">
      <c r="A71" s="97"/>
      <c r="B71" s="94"/>
      <c r="C71" s="979" t="s">
        <v>210</v>
      </c>
      <c r="D71" s="980"/>
      <c r="E71" s="980"/>
      <c r="F71" s="980"/>
      <c r="G71" s="980"/>
      <c r="H71" s="980"/>
      <c r="I71" s="980"/>
      <c r="J71" s="981"/>
    </row>
    <row r="72" spans="1:10" ht="12.75">
      <c r="A72" s="97"/>
      <c r="B72" s="94"/>
      <c r="C72" s="112"/>
      <c r="D72" s="94"/>
      <c r="E72" s="113"/>
      <c r="F72" s="113"/>
      <c r="G72" s="113"/>
      <c r="H72" s="113"/>
      <c r="I72" s="113"/>
      <c r="J72" s="114"/>
    </row>
    <row r="73" spans="1:10" ht="12.75">
      <c r="A73" s="97"/>
      <c r="B73" s="94"/>
      <c r="C73" s="112"/>
      <c r="D73" s="94"/>
      <c r="E73" s="113"/>
      <c r="F73" s="113"/>
      <c r="G73" s="113"/>
      <c r="H73" s="113"/>
      <c r="I73" s="113"/>
      <c r="J73" s="114"/>
    </row>
    <row r="74" spans="1:10" ht="12.75">
      <c r="A74" s="97"/>
      <c r="B74" s="94"/>
      <c r="C74" s="112"/>
      <c r="D74" s="94"/>
      <c r="E74" s="113"/>
      <c r="F74" s="113"/>
      <c r="G74" s="113"/>
      <c r="H74" s="113"/>
      <c r="I74" s="113"/>
      <c r="J74" s="114"/>
    </row>
    <row r="75" spans="1:10" ht="15">
      <c r="A75" s="111"/>
      <c r="B75" s="110"/>
      <c r="C75" s="115"/>
      <c r="D75" s="110"/>
      <c r="E75" s="116"/>
      <c r="F75" s="110"/>
      <c r="G75" s="110"/>
      <c r="H75" s="110"/>
      <c r="I75" s="110"/>
      <c r="J75" s="117"/>
    </row>
    <row r="76" spans="1:10" ht="15">
      <c r="A76" s="948" t="s">
        <v>211</v>
      </c>
      <c r="B76" s="949"/>
      <c r="C76" s="1011" t="s">
        <v>212</v>
      </c>
      <c r="D76" s="1012"/>
      <c r="E76" s="1012"/>
      <c r="F76" s="1012"/>
      <c r="G76" s="1012"/>
      <c r="H76" s="1012"/>
      <c r="I76" s="1012"/>
      <c r="J76" s="1013"/>
    </row>
    <row r="77" spans="1:10" s="118" customFormat="1" ht="18">
      <c r="A77" s="993" t="str">
        <f>'dados de entrada'!B5</f>
        <v>Ana Paula da Silva</v>
      </c>
      <c r="B77" s="994"/>
      <c r="C77" s="993" t="str">
        <f>'dados de entrada'!C24</f>
        <v>Carlos Alberto Bley  </v>
      </c>
      <c r="D77" s="994"/>
      <c r="E77" s="994"/>
      <c r="F77" s="994"/>
      <c r="G77" s="994"/>
      <c r="H77" s="994"/>
      <c r="I77" s="994"/>
      <c r="J77" s="995"/>
    </row>
    <row r="78" spans="1:10" s="103" customFormat="1" ht="13.5" customHeight="1" thickBot="1">
      <c r="A78" s="891" t="s">
        <v>346</v>
      </c>
      <c r="B78" s="944"/>
      <c r="C78" s="891" t="str">
        <f>'dados de entrada'!B17</f>
        <v>Engenheiro Civil - CREA SC 8.333-3</v>
      </c>
      <c r="D78" s="944"/>
      <c r="E78" s="944"/>
      <c r="F78" s="944"/>
      <c r="G78" s="944"/>
      <c r="H78" s="944"/>
      <c r="I78" s="944"/>
      <c r="J78" s="992"/>
    </row>
  </sheetData>
  <sheetProtection/>
  <mergeCells count="44">
    <mergeCell ref="A6:A8"/>
    <mergeCell ref="C66:D66"/>
    <mergeCell ref="G67:H67"/>
    <mergeCell ref="C6:H6"/>
    <mergeCell ref="G7:H7"/>
    <mergeCell ref="G64:H64"/>
    <mergeCell ref="C7:D7"/>
    <mergeCell ref="E7:F7"/>
    <mergeCell ref="G66:H66"/>
    <mergeCell ref="E66:F66"/>
    <mergeCell ref="I66:J66"/>
    <mergeCell ref="G65:H65"/>
    <mergeCell ref="A67:B67"/>
    <mergeCell ref="C67:D67"/>
    <mergeCell ref="E67:F67"/>
    <mergeCell ref="A65:B65"/>
    <mergeCell ref="C65:D65"/>
    <mergeCell ref="E65:F65"/>
    <mergeCell ref="A66:B66"/>
    <mergeCell ref="B6:B8"/>
    <mergeCell ref="I6:J7"/>
    <mergeCell ref="C71:J71"/>
    <mergeCell ref="C76:J76"/>
    <mergeCell ref="A64:B64"/>
    <mergeCell ref="C64:D64"/>
    <mergeCell ref="E64:F64"/>
    <mergeCell ref="I67:J67"/>
    <mergeCell ref="I64:J64"/>
    <mergeCell ref="I65:J65"/>
    <mergeCell ref="A1:J1"/>
    <mergeCell ref="A2:J2"/>
    <mergeCell ref="A4:F4"/>
    <mergeCell ref="I4:J4"/>
    <mergeCell ref="A5:B5"/>
    <mergeCell ref="C5:H5"/>
    <mergeCell ref="I5:J5"/>
    <mergeCell ref="C78:J78"/>
    <mergeCell ref="A68:B68"/>
    <mergeCell ref="A76:B76"/>
    <mergeCell ref="A77:B77"/>
    <mergeCell ref="A78:B78"/>
    <mergeCell ref="C68:J68"/>
    <mergeCell ref="C69:J70"/>
    <mergeCell ref="C77:J77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C54" sqref="C54"/>
    </sheetView>
  </sheetViews>
  <sheetFormatPr defaultColWidth="9.140625" defaultRowHeight="12.75"/>
  <cols>
    <col min="1" max="1" width="10.8515625" style="258" customWidth="1"/>
    <col min="2" max="2" width="61.8515625" style="258" customWidth="1"/>
    <col min="3" max="3" width="13.421875" style="258" customWidth="1"/>
    <col min="4" max="4" width="5.8515625" style="258" bestFit="1" customWidth="1"/>
    <col min="5" max="5" width="14.57421875" style="258" customWidth="1"/>
    <col min="6" max="6" width="18.140625" style="258" customWidth="1"/>
    <col min="7" max="7" width="9.140625" style="258" customWidth="1"/>
    <col min="8" max="8" width="13.421875" style="258" customWidth="1"/>
    <col min="9" max="9" width="13.28125" style="258" customWidth="1"/>
    <col min="10" max="10" width="9.7109375" style="258" bestFit="1" customWidth="1"/>
    <col min="11" max="16384" width="9.140625" style="258" customWidth="1"/>
  </cols>
  <sheetData>
    <row r="1" spans="1:10" ht="12.75">
      <c r="A1" s="338"/>
      <c r="B1" s="573" t="s">
        <v>23</v>
      </c>
      <c r="C1" s="1049" t="str">
        <f>'dados de entrada'!B9</f>
        <v>SINAPI - 01/01/2014 - COM DESONERAÇÃO - SICRO JAN. 2014</v>
      </c>
      <c r="D1" s="1049"/>
      <c r="E1" s="1049"/>
      <c r="F1" s="1050"/>
      <c r="G1" s="261"/>
      <c r="H1" s="360" t="s">
        <v>234</v>
      </c>
      <c r="I1" s="261"/>
      <c r="J1" s="261"/>
    </row>
    <row r="2" spans="1:10" ht="12.75">
      <c r="A2" s="574" t="str">
        <f>'dados de entrada'!B15</f>
        <v>PREFEITURA MUNICIPAL DE BOMBINHAS</v>
      </c>
      <c r="B2" s="575"/>
      <c r="C2" s="263"/>
      <c r="D2" s="263"/>
      <c r="E2" s="263" t="s">
        <v>24</v>
      </c>
      <c r="F2" s="576" t="s">
        <v>25</v>
      </c>
      <c r="G2" s="261"/>
      <c r="H2" s="261"/>
      <c r="I2" s="261"/>
      <c r="J2" s="261"/>
    </row>
    <row r="3" spans="1:10" ht="12.75">
      <c r="A3" s="574" t="str">
        <f>'dados de entrada'!C19</f>
        <v>RUA ILHA DE MARAJÓ - BAIRRO QUATRO ILHAS</v>
      </c>
      <c r="B3" s="575"/>
      <c r="C3" s="263"/>
      <c r="D3" s="263"/>
      <c r="E3" s="263" t="s">
        <v>26</v>
      </c>
      <c r="F3" s="363" t="s">
        <v>432</v>
      </c>
      <c r="G3" s="261"/>
      <c r="H3" s="261"/>
      <c r="I3" s="261"/>
      <c r="J3" s="261"/>
    </row>
    <row r="4" spans="1:10" ht="12.75">
      <c r="A4" s="574" t="str">
        <f>'dados de entrada'!B8</f>
        <v>PAVIMENTAÇÃO ASFÁLTICA E DRENAGEM PLUVIAL</v>
      </c>
      <c r="B4" s="575"/>
      <c r="C4" s="263"/>
      <c r="D4" s="263"/>
      <c r="E4" s="577" t="s">
        <v>379</v>
      </c>
      <c r="F4" s="578" t="str">
        <f>'dados de entrada'!B11</f>
        <v>4.812.441-0</v>
      </c>
      <c r="G4" s="261"/>
      <c r="H4" s="261"/>
      <c r="I4" s="261"/>
      <c r="J4" s="261"/>
    </row>
    <row r="5" spans="1:10" ht="12.75">
      <c r="A5" s="1051" t="s">
        <v>28</v>
      </c>
      <c r="B5" s="1052"/>
      <c r="C5" s="1052"/>
      <c r="D5" s="1052"/>
      <c r="E5" s="1052"/>
      <c r="F5" s="1053"/>
      <c r="G5" s="261"/>
      <c r="H5" s="261"/>
      <c r="I5" s="261"/>
      <c r="J5" s="261"/>
    </row>
    <row r="6" spans="1:10" ht="12.75">
      <c r="A6" s="1041"/>
      <c r="B6" s="1042"/>
      <c r="C6" s="1042"/>
      <c r="D6" s="1042"/>
      <c r="E6" s="1042"/>
      <c r="F6" s="1043"/>
      <c r="G6" s="261"/>
      <c r="H6" s="261"/>
      <c r="I6" s="261"/>
      <c r="J6" s="261"/>
    </row>
    <row r="7" spans="1:10" ht="12.75">
      <c r="A7" s="1041" t="s">
        <v>29</v>
      </c>
      <c r="B7" s="1042"/>
      <c r="C7" s="1042"/>
      <c r="D7" s="1042" t="s">
        <v>30</v>
      </c>
      <c r="E7" s="1042"/>
      <c r="F7" s="579" t="s">
        <v>13</v>
      </c>
      <c r="G7" s="261"/>
      <c r="H7" s="261"/>
      <c r="I7" s="261"/>
      <c r="J7" s="261"/>
    </row>
    <row r="8" spans="1:10" ht="13.5" thickBot="1">
      <c r="A8" s="1054" t="s">
        <v>326</v>
      </c>
      <c r="B8" s="1055"/>
      <c r="C8" s="1055"/>
      <c r="D8" s="1042" t="s">
        <v>4</v>
      </c>
      <c r="E8" s="1042"/>
      <c r="F8" s="580">
        <f>'dados de entrada'!B3</f>
        <v>41699</v>
      </c>
      <c r="G8" s="261"/>
      <c r="H8" s="261"/>
      <c r="I8" s="261"/>
      <c r="J8" s="261"/>
    </row>
    <row r="9" spans="1:11" ht="13.5" thickBot="1">
      <c r="A9" s="1041"/>
      <c r="B9" s="1042"/>
      <c r="C9" s="1042"/>
      <c r="D9" s="1042"/>
      <c r="E9" s="1042"/>
      <c r="F9" s="1043"/>
      <c r="G9" s="261"/>
      <c r="H9" s="1047" t="s">
        <v>224</v>
      </c>
      <c r="I9" s="1048"/>
      <c r="J9" s="259">
        <f>Escavação!W27</f>
        <v>1.78</v>
      </c>
      <c r="K9" s="258" t="s">
        <v>327</v>
      </c>
    </row>
    <row r="10" spans="1:11" ht="13.5" thickBot="1">
      <c r="A10" s="541" t="s">
        <v>0</v>
      </c>
      <c r="B10" s="326" t="s">
        <v>31</v>
      </c>
      <c r="C10" s="326" t="s">
        <v>32</v>
      </c>
      <c r="D10" s="326" t="s">
        <v>33</v>
      </c>
      <c r="E10" s="326" t="s">
        <v>34</v>
      </c>
      <c r="F10" s="579" t="s">
        <v>35</v>
      </c>
      <c r="G10" s="261"/>
      <c r="H10" s="1047" t="s">
        <v>225</v>
      </c>
      <c r="I10" s="1048"/>
      <c r="J10" s="259">
        <f>((J9-0.2)*4*O13)-P14</f>
        <v>872.08</v>
      </c>
      <c r="K10" s="258" t="s">
        <v>328</v>
      </c>
    </row>
    <row r="11" spans="1:10" ht="14.25">
      <c r="A11" s="430">
        <v>73599</v>
      </c>
      <c r="B11" s="527" t="s">
        <v>324</v>
      </c>
      <c r="C11" s="528">
        <f>ROUNDUP(J9*1.7*1.7,1)</f>
        <v>5.199999999999999</v>
      </c>
      <c r="D11" s="529" t="s">
        <v>9</v>
      </c>
      <c r="E11" s="530">
        <v>7.67</v>
      </c>
      <c r="F11" s="531">
        <f aca="true" t="shared" si="0" ref="F11:F21">C11*E11</f>
        <v>39.88399999999999</v>
      </c>
      <c r="G11" s="261"/>
      <c r="H11" s="261"/>
      <c r="I11" s="261"/>
      <c r="J11" s="261"/>
    </row>
    <row r="12" spans="1:15" ht="12.75" customHeight="1">
      <c r="A12" s="532" t="s">
        <v>193</v>
      </c>
      <c r="B12" s="533" t="s">
        <v>329</v>
      </c>
      <c r="C12" s="528">
        <f>1.7*1.7*0.1</f>
        <v>0.289</v>
      </c>
      <c r="D12" s="529" t="s">
        <v>9</v>
      </c>
      <c r="E12" s="530">
        <v>97.19</v>
      </c>
      <c r="F12" s="531">
        <f t="shared" si="0"/>
        <v>28.087909999999997</v>
      </c>
      <c r="G12" s="261"/>
      <c r="H12" s="261"/>
      <c r="I12" s="261"/>
      <c r="J12" s="261"/>
      <c r="N12" s="260" t="s">
        <v>218</v>
      </c>
      <c r="O12" s="260" t="s">
        <v>219</v>
      </c>
    </row>
    <row r="13" spans="1:15" ht="25.5">
      <c r="A13" s="526" t="s">
        <v>36</v>
      </c>
      <c r="B13" s="533" t="s">
        <v>330</v>
      </c>
      <c r="C13" s="528">
        <f>1.7*1.7*0.1</f>
        <v>0.289</v>
      </c>
      <c r="D13" s="529" t="s">
        <v>9</v>
      </c>
      <c r="E13" s="530">
        <v>353.6</v>
      </c>
      <c r="F13" s="531">
        <f t="shared" si="0"/>
        <v>102.1904</v>
      </c>
      <c r="G13" s="261"/>
      <c r="H13" s="261"/>
      <c r="I13" s="261"/>
      <c r="J13" s="261"/>
      <c r="N13" s="260">
        <v>1</v>
      </c>
      <c r="O13" s="260">
        <v>144</v>
      </c>
    </row>
    <row r="14" spans="1:17" ht="12.75" customHeight="1">
      <c r="A14" s="526">
        <v>34</v>
      </c>
      <c r="B14" s="533" t="s">
        <v>223</v>
      </c>
      <c r="C14" s="535">
        <v>37</v>
      </c>
      <c r="D14" s="529" t="s">
        <v>37</v>
      </c>
      <c r="E14" s="530">
        <v>3.66</v>
      </c>
      <c r="F14" s="531">
        <f t="shared" si="0"/>
        <v>135.42000000000002</v>
      </c>
      <c r="G14" s="261"/>
      <c r="H14" s="261"/>
      <c r="I14" s="261"/>
      <c r="J14" s="261"/>
      <c r="N14" s="260">
        <f>PI()*((0.4/2)^2)</f>
        <v>0.12566370614359174</v>
      </c>
      <c r="O14" s="260">
        <f>ROUNDUP((N14*O13)/N13,0)</f>
        <v>19</v>
      </c>
      <c r="P14" s="258">
        <f>O14*2</f>
        <v>38</v>
      </c>
      <c r="Q14" s="258" t="s">
        <v>227</v>
      </c>
    </row>
    <row r="15" spans="1:10" ht="12.75" customHeight="1" thickBot="1">
      <c r="A15" s="536">
        <v>7258</v>
      </c>
      <c r="B15" s="527" t="s">
        <v>228</v>
      </c>
      <c r="C15" s="537">
        <f>ROUNDUP(J10,0)</f>
        <v>873</v>
      </c>
      <c r="D15" s="326" t="s">
        <v>4</v>
      </c>
      <c r="E15" s="567">
        <v>0.45</v>
      </c>
      <c r="F15" s="539">
        <f t="shared" si="0"/>
        <v>392.85</v>
      </c>
      <c r="G15" s="261"/>
      <c r="H15" s="261"/>
      <c r="I15" s="261"/>
      <c r="J15" s="261"/>
    </row>
    <row r="16" spans="1:11" ht="12.75" customHeight="1" thickBot="1">
      <c r="A16" s="526">
        <v>371</v>
      </c>
      <c r="B16" s="533" t="s">
        <v>229</v>
      </c>
      <c r="C16" s="535">
        <f>ROUNDUP(J16,0)</f>
        <v>219</v>
      </c>
      <c r="D16" s="529" t="s">
        <v>37</v>
      </c>
      <c r="E16" s="530">
        <v>0.35</v>
      </c>
      <c r="F16" s="531">
        <f t="shared" si="0"/>
        <v>76.64999999999999</v>
      </c>
      <c r="G16" s="261"/>
      <c r="H16" s="1047" t="s">
        <v>148</v>
      </c>
      <c r="I16" s="1048"/>
      <c r="J16" s="259">
        <f>C15*0.25</f>
        <v>218.25</v>
      </c>
      <c r="K16" s="258" t="s">
        <v>226</v>
      </c>
    </row>
    <row r="17" spans="1:10" ht="25.5">
      <c r="A17" s="526" t="s">
        <v>36</v>
      </c>
      <c r="B17" s="540" t="s">
        <v>331</v>
      </c>
      <c r="C17" s="528">
        <f>ROUNDUP((1.2*1.2*0.15)-(PI()*(((0.6/2)^2)*0.15)),1)</f>
        <v>0.2</v>
      </c>
      <c r="D17" s="529" t="s">
        <v>9</v>
      </c>
      <c r="E17" s="530">
        <v>353.6</v>
      </c>
      <c r="F17" s="531">
        <f t="shared" si="0"/>
        <v>70.72000000000001</v>
      </c>
      <c r="G17" s="261"/>
      <c r="H17" s="261"/>
      <c r="I17" s="261"/>
      <c r="J17" s="261"/>
    </row>
    <row r="18" spans="1:10" ht="12.75">
      <c r="A18" s="526">
        <v>34</v>
      </c>
      <c r="B18" s="533" t="s">
        <v>223</v>
      </c>
      <c r="C18" s="535">
        <v>19</v>
      </c>
      <c r="D18" s="529" t="s">
        <v>37</v>
      </c>
      <c r="E18" s="530">
        <v>3.66</v>
      </c>
      <c r="F18" s="531">
        <f t="shared" si="0"/>
        <v>69.54</v>
      </c>
      <c r="G18" s="261"/>
      <c r="H18" s="261"/>
      <c r="I18" s="261"/>
      <c r="J18" s="261"/>
    </row>
    <row r="19" spans="1:10" ht="12.75">
      <c r="A19" s="541">
        <v>21090</v>
      </c>
      <c r="B19" s="527" t="s">
        <v>332</v>
      </c>
      <c r="C19" s="542">
        <v>1</v>
      </c>
      <c r="D19" s="492" t="s">
        <v>4</v>
      </c>
      <c r="E19" s="530">
        <v>563.92</v>
      </c>
      <c r="F19" s="581">
        <f t="shared" si="0"/>
        <v>563.92</v>
      </c>
      <c r="G19" s="261"/>
      <c r="H19" s="261"/>
      <c r="I19" s="261"/>
      <c r="J19" s="261"/>
    </row>
    <row r="20" spans="1:10" ht="12.75">
      <c r="A20" s="536"/>
      <c r="B20" s="527"/>
      <c r="C20" s="542"/>
      <c r="D20" s="492"/>
      <c r="E20" s="530"/>
      <c r="F20" s="539">
        <f t="shared" si="0"/>
        <v>0</v>
      </c>
      <c r="G20" s="261"/>
      <c r="H20" s="261"/>
      <c r="I20" s="261"/>
      <c r="J20" s="261"/>
    </row>
    <row r="21" spans="1:10" ht="12.75">
      <c r="A21" s="541"/>
      <c r="B21" s="326"/>
      <c r="C21" s="537"/>
      <c r="D21" s="326"/>
      <c r="E21" s="373"/>
      <c r="F21" s="539">
        <f t="shared" si="0"/>
        <v>0</v>
      </c>
      <c r="G21" s="261"/>
      <c r="H21" s="261"/>
      <c r="I21" s="261"/>
      <c r="J21" s="261"/>
    </row>
    <row r="22" spans="1:10" ht="12.75">
      <c r="A22" s="1041" t="s">
        <v>38</v>
      </c>
      <c r="B22" s="1042"/>
      <c r="C22" s="1042"/>
      <c r="D22" s="1042"/>
      <c r="E22" s="1042"/>
      <c r="F22" s="539">
        <f>SUM(F11:F21)</f>
        <v>1479.26231</v>
      </c>
      <c r="G22" s="261"/>
      <c r="H22" s="261"/>
      <c r="I22" s="261"/>
      <c r="J22" s="261"/>
    </row>
    <row r="23" spans="1:10" ht="12.75">
      <c r="A23" s="1041"/>
      <c r="B23" s="1042"/>
      <c r="C23" s="1042"/>
      <c r="D23" s="1042"/>
      <c r="E23" s="1042"/>
      <c r="F23" s="1043"/>
      <c r="G23" s="261"/>
      <c r="H23" s="261"/>
      <c r="I23" s="261"/>
      <c r="J23" s="261"/>
    </row>
    <row r="24" spans="1:10" ht="12.75">
      <c r="A24" s="541" t="s">
        <v>0</v>
      </c>
      <c r="B24" s="326" t="s">
        <v>19</v>
      </c>
      <c r="C24" s="326" t="s">
        <v>32</v>
      </c>
      <c r="D24" s="326" t="s">
        <v>33</v>
      </c>
      <c r="E24" s="326" t="s">
        <v>34</v>
      </c>
      <c r="F24" s="579" t="s">
        <v>35</v>
      </c>
      <c r="G24" s="261"/>
      <c r="H24" s="261"/>
      <c r="I24" s="261"/>
      <c r="J24" s="261"/>
    </row>
    <row r="25" spans="1:10" ht="12.75">
      <c r="A25" s="582"/>
      <c r="B25" s="375" t="s">
        <v>39</v>
      </c>
      <c r="C25" s="364">
        <v>1.1</v>
      </c>
      <c r="D25" s="376" t="s">
        <v>220</v>
      </c>
      <c r="E25" s="364">
        <v>0.78</v>
      </c>
      <c r="F25" s="583">
        <f>C25*E25</f>
        <v>0.8580000000000001</v>
      </c>
      <c r="G25" s="261" t="s">
        <v>230</v>
      </c>
      <c r="H25" s="261"/>
      <c r="I25" s="261"/>
      <c r="J25" s="261"/>
    </row>
    <row r="26" spans="1:10" ht="12.75">
      <c r="A26" s="584"/>
      <c r="B26" s="378"/>
      <c r="C26" s="379"/>
      <c r="D26" s="365"/>
      <c r="E26" s="379"/>
      <c r="F26" s="585">
        <f>C26*E26</f>
        <v>0</v>
      </c>
      <c r="G26" s="261"/>
      <c r="H26" s="261"/>
      <c r="I26" s="261"/>
      <c r="J26" s="261"/>
    </row>
    <row r="27" spans="1:10" ht="12.75">
      <c r="A27" s="346"/>
      <c r="B27" s="321"/>
      <c r="C27" s="380"/>
      <c r="D27" s="321"/>
      <c r="E27" s="380"/>
      <c r="F27" s="586">
        <f>C27*E27</f>
        <v>0</v>
      </c>
      <c r="G27" s="261"/>
      <c r="H27" s="261"/>
      <c r="I27" s="261"/>
      <c r="J27" s="261"/>
    </row>
    <row r="28" spans="1:10" ht="12.75">
      <c r="A28" s="346"/>
      <c r="B28" s="321"/>
      <c r="C28" s="380"/>
      <c r="D28" s="321"/>
      <c r="E28" s="380"/>
      <c r="F28" s="586">
        <f>C28*E28</f>
        <v>0</v>
      </c>
      <c r="G28" s="261"/>
      <c r="H28" s="261"/>
      <c r="I28" s="261"/>
      <c r="J28" s="261"/>
    </row>
    <row r="29" spans="1:10" ht="12.75">
      <c r="A29" s="587"/>
      <c r="B29" s="370"/>
      <c r="C29" s="371"/>
      <c r="D29" s="370"/>
      <c r="E29" s="371"/>
      <c r="F29" s="588">
        <f>C29*E29</f>
        <v>0</v>
      </c>
      <c r="G29" s="261"/>
      <c r="H29" s="261"/>
      <c r="I29" s="261"/>
      <c r="J29" s="261"/>
    </row>
    <row r="30" spans="1:10" ht="12.75">
      <c r="A30" s="1041" t="s">
        <v>40</v>
      </c>
      <c r="B30" s="1042"/>
      <c r="C30" s="1042"/>
      <c r="D30" s="1042"/>
      <c r="E30" s="1042"/>
      <c r="F30" s="539">
        <f>SUM(F25:F29)</f>
        <v>0.8580000000000001</v>
      </c>
      <c r="G30" s="261"/>
      <c r="H30" s="261"/>
      <c r="I30" s="261"/>
      <c r="J30" s="261"/>
    </row>
    <row r="31" spans="1:10" ht="12.75">
      <c r="A31" s="1041"/>
      <c r="B31" s="1042"/>
      <c r="C31" s="1042"/>
      <c r="D31" s="1042"/>
      <c r="E31" s="1042"/>
      <c r="F31" s="1043"/>
      <c r="G31" s="261"/>
      <c r="H31" s="261"/>
      <c r="I31" s="261"/>
      <c r="J31" s="261"/>
    </row>
    <row r="32" spans="1:10" ht="12.75">
      <c r="A32" s="541" t="s">
        <v>0</v>
      </c>
      <c r="B32" s="326" t="s">
        <v>41</v>
      </c>
      <c r="C32" s="326" t="s">
        <v>32</v>
      </c>
      <c r="D32" s="326" t="s">
        <v>33</v>
      </c>
      <c r="E32" s="326" t="s">
        <v>34</v>
      </c>
      <c r="F32" s="579" t="s">
        <v>35</v>
      </c>
      <c r="G32" s="261"/>
      <c r="H32" s="261"/>
      <c r="I32" s="261"/>
      <c r="J32" s="261"/>
    </row>
    <row r="33" spans="1:10" ht="12.75">
      <c r="A33" s="568">
        <v>6127</v>
      </c>
      <c r="B33" s="569" t="s">
        <v>42</v>
      </c>
      <c r="C33" s="373">
        <v>8.7</v>
      </c>
      <c r="D33" s="326" t="s">
        <v>220</v>
      </c>
      <c r="E33" s="570">
        <v>9.56</v>
      </c>
      <c r="F33" s="539">
        <f>C33*E33</f>
        <v>83.172</v>
      </c>
      <c r="G33" s="261"/>
      <c r="H33" s="261" t="s">
        <v>231</v>
      </c>
      <c r="I33" s="261" t="s">
        <v>333</v>
      </c>
      <c r="J33" s="261"/>
    </row>
    <row r="34" spans="1:10" ht="12.75">
      <c r="A34" s="568">
        <v>4750</v>
      </c>
      <c r="B34" s="569" t="s">
        <v>43</v>
      </c>
      <c r="C34" s="571">
        <v>7.3</v>
      </c>
      <c r="D34" s="529" t="s">
        <v>220</v>
      </c>
      <c r="E34" s="570">
        <v>11.79</v>
      </c>
      <c r="F34" s="531">
        <f>C34*E34</f>
        <v>86.067</v>
      </c>
      <c r="G34" s="261"/>
      <c r="H34" s="261" t="s">
        <v>232</v>
      </c>
      <c r="I34" s="261" t="s">
        <v>334</v>
      </c>
      <c r="J34" s="261"/>
    </row>
    <row r="35" spans="1:10" ht="12.75">
      <c r="A35" s="541"/>
      <c r="B35" s="572"/>
      <c r="C35" s="373"/>
      <c r="D35" s="326"/>
      <c r="E35" s="373"/>
      <c r="F35" s="531">
        <f>C35*E35</f>
        <v>0</v>
      </c>
      <c r="G35" s="261"/>
      <c r="H35" s="261"/>
      <c r="I35" s="261"/>
      <c r="J35" s="261"/>
    </row>
    <row r="36" spans="1:10" ht="12.75">
      <c r="A36" s="541"/>
      <c r="B36" s="572"/>
      <c r="C36" s="373"/>
      <c r="D36" s="326"/>
      <c r="E36" s="373"/>
      <c r="F36" s="531">
        <f>C36*E36</f>
        <v>0</v>
      </c>
      <c r="G36" s="261"/>
      <c r="H36" s="261"/>
      <c r="I36" s="261"/>
      <c r="J36" s="261"/>
    </row>
    <row r="37" spans="1:10" ht="12.75">
      <c r="A37" s="526"/>
      <c r="B37" s="533"/>
      <c r="C37" s="571"/>
      <c r="D37" s="529"/>
      <c r="E37" s="571"/>
      <c r="F37" s="531">
        <f>C37*E37</f>
        <v>0</v>
      </c>
      <c r="G37" s="261"/>
      <c r="H37" s="261"/>
      <c r="I37" s="261"/>
      <c r="J37" s="261"/>
    </row>
    <row r="38" spans="1:10" ht="12.75">
      <c r="A38" s="1041" t="s">
        <v>44</v>
      </c>
      <c r="B38" s="1042"/>
      <c r="C38" s="1042"/>
      <c r="D38" s="1042"/>
      <c r="E38" s="1042"/>
      <c r="F38" s="539">
        <f>SUM(F33:F37)</f>
        <v>169.23899999999998</v>
      </c>
      <c r="G38" s="261"/>
      <c r="H38" s="261"/>
      <c r="I38" s="261"/>
      <c r="J38" s="261"/>
    </row>
    <row r="39" spans="1:10" ht="12.75">
      <c r="A39" s="1041"/>
      <c r="B39" s="1042"/>
      <c r="C39" s="1042"/>
      <c r="D39" s="1042"/>
      <c r="E39" s="1042"/>
      <c r="F39" s="1043"/>
      <c r="G39" s="261"/>
      <c r="H39" s="261"/>
      <c r="I39" s="261"/>
      <c r="J39" s="261"/>
    </row>
    <row r="40" spans="1:10" ht="12.75">
      <c r="A40" s="1041" t="s">
        <v>45</v>
      </c>
      <c r="B40" s="1042"/>
      <c r="C40" s="1042"/>
      <c r="D40" s="1042"/>
      <c r="E40" s="1042"/>
      <c r="F40" s="539">
        <f>F38</f>
        <v>169.23899999999998</v>
      </c>
      <c r="G40" s="261"/>
      <c r="H40" s="261"/>
      <c r="I40" s="261"/>
      <c r="J40" s="261"/>
    </row>
    <row r="41" spans="1:10" ht="12.75">
      <c r="A41" s="1041"/>
      <c r="B41" s="1042"/>
      <c r="C41" s="1042"/>
      <c r="D41" s="1042"/>
      <c r="E41" s="1042"/>
      <c r="F41" s="1043"/>
      <c r="G41" s="261"/>
      <c r="H41" s="261"/>
      <c r="I41" s="261"/>
      <c r="J41" s="261"/>
    </row>
    <row r="42" spans="1:10" ht="12.75">
      <c r="A42" s="1041"/>
      <c r="B42" s="1042"/>
      <c r="C42" s="1042"/>
      <c r="D42" s="1042"/>
      <c r="E42" s="1042"/>
      <c r="F42" s="1043"/>
      <c r="G42" s="261"/>
      <c r="H42" s="261"/>
      <c r="I42" s="261"/>
      <c r="J42" s="261"/>
    </row>
    <row r="43" spans="1:10" ht="12.75">
      <c r="A43" s="1041" t="s">
        <v>46</v>
      </c>
      <c r="B43" s="1042"/>
      <c r="C43" s="1042"/>
      <c r="D43" s="1042"/>
      <c r="E43" s="1042"/>
      <c r="F43" s="539">
        <f>F40+F30+F22</f>
        <v>1649.35931</v>
      </c>
      <c r="G43" s="261"/>
      <c r="H43" s="261"/>
      <c r="I43" s="261"/>
      <c r="J43" s="261"/>
    </row>
    <row r="44" spans="1:10" ht="12.75">
      <c r="A44" s="1041"/>
      <c r="B44" s="1042"/>
      <c r="C44" s="1042"/>
      <c r="D44" s="1042"/>
      <c r="E44" s="1042"/>
      <c r="F44" s="1043"/>
      <c r="G44" s="261"/>
      <c r="H44" s="261"/>
      <c r="I44" s="261"/>
      <c r="J44" s="261"/>
    </row>
    <row r="45" spans="1:10" ht="12.75">
      <c r="A45" s="1041" t="s">
        <v>47</v>
      </c>
      <c r="B45" s="1042"/>
      <c r="C45" s="1042"/>
      <c r="D45" s="1042"/>
      <c r="E45" s="543">
        <f>'dados de entrada'!B10</f>
        <v>0.2373</v>
      </c>
      <c r="F45" s="539">
        <f>F43*E45</f>
        <v>391.392964263</v>
      </c>
      <c r="G45" s="387" t="s">
        <v>233</v>
      </c>
      <c r="H45" s="261"/>
      <c r="I45" s="261"/>
      <c r="J45" s="261"/>
    </row>
    <row r="46" spans="1:10" ht="12.75">
      <c r="A46" s="1041"/>
      <c r="B46" s="1042"/>
      <c r="C46" s="1042"/>
      <c r="D46" s="1042"/>
      <c r="E46" s="1042"/>
      <c r="F46" s="1043"/>
      <c r="G46" s="261"/>
      <c r="H46" s="261"/>
      <c r="I46" s="261"/>
      <c r="J46" s="261"/>
    </row>
    <row r="47" spans="1:10" ht="12.75">
      <c r="A47" s="1041" t="s">
        <v>48</v>
      </c>
      <c r="B47" s="1042"/>
      <c r="C47" s="1042"/>
      <c r="D47" s="1042"/>
      <c r="E47" s="1042"/>
      <c r="F47" s="539">
        <f>F43+F45</f>
        <v>2040.7522742630001</v>
      </c>
      <c r="G47" s="261"/>
      <c r="H47" s="261"/>
      <c r="I47" s="261"/>
      <c r="J47" s="261"/>
    </row>
    <row r="48" spans="1:6" ht="13.5" thickBot="1">
      <c r="A48" s="1044" t="s">
        <v>433</v>
      </c>
      <c r="B48" s="1045"/>
      <c r="C48" s="1045"/>
      <c r="D48" s="1045"/>
      <c r="E48" s="1045"/>
      <c r="F48" s="1046"/>
    </row>
  </sheetData>
  <sheetProtection/>
  <mergeCells count="25">
    <mergeCell ref="C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A48" sqref="A48:F48"/>
    </sheetView>
  </sheetViews>
  <sheetFormatPr defaultColWidth="9.140625" defaultRowHeight="12.75"/>
  <cols>
    <col min="1" max="1" width="10.8515625" style="258" customWidth="1"/>
    <col min="2" max="2" width="61.8515625" style="258" customWidth="1"/>
    <col min="3" max="3" width="13.421875" style="258" customWidth="1"/>
    <col min="4" max="4" width="5.8515625" style="258" bestFit="1" customWidth="1"/>
    <col min="5" max="5" width="14.57421875" style="258" customWidth="1"/>
    <col min="6" max="6" width="18.140625" style="258" customWidth="1"/>
    <col min="7" max="7" width="9.140625" style="258" customWidth="1"/>
    <col min="8" max="8" width="13.421875" style="258" customWidth="1"/>
    <col min="9" max="9" width="13.28125" style="258" customWidth="1"/>
    <col min="10" max="10" width="9.7109375" style="258" bestFit="1" customWidth="1"/>
    <col min="11" max="16384" width="9.140625" style="258" customWidth="1"/>
  </cols>
  <sheetData>
    <row r="1" spans="1:10" ht="12.75">
      <c r="A1" s="338"/>
      <c r="B1" s="573" t="s">
        <v>23</v>
      </c>
      <c r="C1" s="1058" t="str">
        <f>'dados de entrada'!B9</f>
        <v>SINAPI - 01/01/2014 - COM DESONERAÇÃO - SICRO JAN. 2014</v>
      </c>
      <c r="D1" s="1058"/>
      <c r="E1" s="1058"/>
      <c r="F1" s="1059"/>
      <c r="G1" s="261"/>
      <c r="H1" s="360" t="s">
        <v>234</v>
      </c>
      <c r="I1" s="261"/>
      <c r="J1" s="261"/>
    </row>
    <row r="2" spans="1:10" ht="12.75">
      <c r="A2" s="574" t="str">
        <f>'dados de entrada'!B15</f>
        <v>PREFEITURA MUNICIPAL DE BOMBINHAS</v>
      </c>
      <c r="B2" s="575"/>
      <c r="C2" s="263"/>
      <c r="D2" s="263"/>
      <c r="E2" s="263" t="s">
        <v>24</v>
      </c>
      <c r="F2" s="576" t="s">
        <v>25</v>
      </c>
      <c r="G2" s="261"/>
      <c r="H2" s="261"/>
      <c r="I2" s="261"/>
      <c r="J2" s="261"/>
    </row>
    <row r="3" spans="1:10" ht="12.75">
      <c r="A3" s="574" t="str">
        <f>'dados de entrada'!C19</f>
        <v>RUA ILHA DE MARAJÓ - BAIRRO QUATRO ILHAS</v>
      </c>
      <c r="B3" s="575"/>
      <c r="C3" s="263"/>
      <c r="D3" s="263"/>
      <c r="E3" s="263" t="s">
        <v>26</v>
      </c>
      <c r="F3" s="363" t="s">
        <v>432</v>
      </c>
      <c r="G3" s="261"/>
      <c r="H3" s="261"/>
      <c r="I3" s="261"/>
      <c r="J3" s="261"/>
    </row>
    <row r="4" spans="1:10" ht="12.75">
      <c r="A4" s="574" t="str">
        <f>'dados de entrada'!B8</f>
        <v>PAVIMENTAÇÃO ASFÁLTICA E DRENAGEM PLUVIAL</v>
      </c>
      <c r="B4" s="575"/>
      <c r="C4" s="263"/>
      <c r="D4" s="263"/>
      <c r="E4" s="577" t="s">
        <v>376</v>
      </c>
      <c r="F4" s="578" t="str">
        <f>'dados de entrada'!B11</f>
        <v>4.812.441-0</v>
      </c>
      <c r="G4" s="261"/>
      <c r="H4" s="261"/>
      <c r="I4" s="261"/>
      <c r="J4" s="261"/>
    </row>
    <row r="5" spans="1:10" ht="12.75">
      <c r="A5" s="1051" t="s">
        <v>28</v>
      </c>
      <c r="B5" s="1052"/>
      <c r="C5" s="1052"/>
      <c r="D5" s="1052"/>
      <c r="E5" s="1052"/>
      <c r="F5" s="1053"/>
      <c r="G5" s="261"/>
      <c r="H5" s="261"/>
      <c r="I5" s="261"/>
      <c r="J5" s="261"/>
    </row>
    <row r="6" spans="1:10" ht="12.75">
      <c r="A6" s="1041"/>
      <c r="B6" s="1042"/>
      <c r="C6" s="1042"/>
      <c r="D6" s="1042"/>
      <c r="E6" s="1042"/>
      <c r="F6" s="1043"/>
      <c r="G6" s="261"/>
      <c r="H6" s="261"/>
      <c r="I6" s="261"/>
      <c r="J6" s="261"/>
    </row>
    <row r="7" spans="1:10" ht="12.75">
      <c r="A7" s="1041" t="s">
        <v>29</v>
      </c>
      <c r="B7" s="1042"/>
      <c r="C7" s="1042"/>
      <c r="D7" s="1042" t="s">
        <v>30</v>
      </c>
      <c r="E7" s="1042"/>
      <c r="F7" s="579" t="s">
        <v>13</v>
      </c>
      <c r="G7" s="261"/>
      <c r="H7" s="261"/>
      <c r="I7" s="261"/>
      <c r="J7" s="261"/>
    </row>
    <row r="8" spans="1:10" ht="13.5" thickBot="1">
      <c r="A8" s="1054" t="s">
        <v>335</v>
      </c>
      <c r="B8" s="1055"/>
      <c r="C8" s="1055"/>
      <c r="D8" s="1042" t="s">
        <v>4</v>
      </c>
      <c r="E8" s="1042"/>
      <c r="F8" s="580">
        <f>'dados de entrada'!B3</f>
        <v>41699</v>
      </c>
      <c r="G8" s="261"/>
      <c r="H8" s="261"/>
      <c r="I8" s="261"/>
      <c r="J8" s="261"/>
    </row>
    <row r="9" spans="1:11" ht="13.5" thickBot="1">
      <c r="A9" s="1041"/>
      <c r="B9" s="1042"/>
      <c r="C9" s="1042"/>
      <c r="D9" s="1042"/>
      <c r="E9" s="1042"/>
      <c r="F9" s="1043"/>
      <c r="G9" s="261"/>
      <c r="H9" s="1047" t="s">
        <v>224</v>
      </c>
      <c r="I9" s="1048"/>
      <c r="J9" s="259">
        <v>0.9</v>
      </c>
      <c r="K9" s="258" t="s">
        <v>327</v>
      </c>
    </row>
    <row r="10" spans="1:11" ht="13.5" thickBot="1">
      <c r="A10" s="590" t="s">
        <v>0</v>
      </c>
      <c r="B10" s="548" t="s">
        <v>31</v>
      </c>
      <c r="C10" s="548" t="s">
        <v>32</v>
      </c>
      <c r="D10" s="548" t="s">
        <v>33</v>
      </c>
      <c r="E10" s="548" t="s">
        <v>34</v>
      </c>
      <c r="F10" s="591" t="s">
        <v>35</v>
      </c>
      <c r="G10" s="261"/>
      <c r="H10" s="1047" t="s">
        <v>225</v>
      </c>
      <c r="I10" s="1048"/>
      <c r="J10" s="259">
        <f>((J9-0.2)*4*O13)-P14</f>
        <v>365.2</v>
      </c>
      <c r="K10" s="258" t="s">
        <v>328</v>
      </c>
    </row>
    <row r="11" spans="1:10" ht="14.25">
      <c r="A11" s="430">
        <v>73599</v>
      </c>
      <c r="B11" s="527" t="s">
        <v>324</v>
      </c>
      <c r="C11" s="528">
        <f>1.7*1.7*J9</f>
        <v>2.601</v>
      </c>
      <c r="D11" s="529" t="s">
        <v>9</v>
      </c>
      <c r="E11" s="530">
        <v>7.67</v>
      </c>
      <c r="F11" s="531">
        <f aca="true" t="shared" si="0" ref="F11:F21">C11*E11</f>
        <v>19.94967</v>
      </c>
      <c r="G11" s="261"/>
      <c r="H11" s="261"/>
      <c r="I11" s="261"/>
      <c r="J11" s="261"/>
    </row>
    <row r="12" spans="1:15" ht="12.75" customHeight="1">
      <c r="A12" s="532" t="s">
        <v>193</v>
      </c>
      <c r="B12" s="533" t="s">
        <v>329</v>
      </c>
      <c r="C12" s="528">
        <f>1.7*1.7*0.1</f>
        <v>0.289</v>
      </c>
      <c r="D12" s="529" t="s">
        <v>9</v>
      </c>
      <c r="E12" s="530">
        <v>97.19</v>
      </c>
      <c r="F12" s="531">
        <f t="shared" si="0"/>
        <v>28.087909999999997</v>
      </c>
      <c r="G12" s="261"/>
      <c r="H12" s="261"/>
      <c r="I12" s="261"/>
      <c r="J12" s="261"/>
      <c r="N12" s="260" t="s">
        <v>218</v>
      </c>
      <c r="O12" s="260" t="s">
        <v>219</v>
      </c>
    </row>
    <row r="13" spans="1:15" ht="25.5">
      <c r="A13" s="526" t="s">
        <v>36</v>
      </c>
      <c r="B13" s="533" t="s">
        <v>330</v>
      </c>
      <c r="C13" s="528">
        <f>1.7*1.7*0.1</f>
        <v>0.289</v>
      </c>
      <c r="D13" s="529" t="s">
        <v>9</v>
      </c>
      <c r="E13" s="530">
        <v>353.6</v>
      </c>
      <c r="F13" s="531">
        <f t="shared" si="0"/>
        <v>102.1904</v>
      </c>
      <c r="G13" s="261"/>
      <c r="H13" s="261"/>
      <c r="I13" s="261"/>
      <c r="J13" s="261"/>
      <c r="N13" s="260">
        <v>1</v>
      </c>
      <c r="O13" s="260">
        <v>144</v>
      </c>
    </row>
    <row r="14" spans="1:17" ht="12.75" customHeight="1">
      <c r="A14" s="526">
        <v>34</v>
      </c>
      <c r="B14" s="533" t="s">
        <v>223</v>
      </c>
      <c r="C14" s="535">
        <v>37</v>
      </c>
      <c r="D14" s="529" t="s">
        <v>37</v>
      </c>
      <c r="E14" s="530">
        <v>3.66</v>
      </c>
      <c r="F14" s="531">
        <f t="shared" si="0"/>
        <v>135.42000000000002</v>
      </c>
      <c r="G14" s="261"/>
      <c r="H14" s="261"/>
      <c r="I14" s="261"/>
      <c r="J14" s="261"/>
      <c r="N14" s="260">
        <f>PI()*((0.4/2)^2)</f>
        <v>0.12566370614359174</v>
      </c>
      <c r="O14" s="260">
        <f>ROUNDUP((N14*O13)/N13,0)</f>
        <v>19</v>
      </c>
      <c r="P14" s="258">
        <f>O14*2</f>
        <v>38</v>
      </c>
      <c r="Q14" s="258" t="s">
        <v>227</v>
      </c>
    </row>
    <row r="15" spans="1:10" ht="12.75" customHeight="1" thickBot="1">
      <c r="A15" s="536">
        <v>7258</v>
      </c>
      <c r="B15" s="527" t="s">
        <v>228</v>
      </c>
      <c r="C15" s="537">
        <f>ROUNDUP(J10,0)</f>
        <v>366</v>
      </c>
      <c r="D15" s="326" t="s">
        <v>4</v>
      </c>
      <c r="E15" s="567">
        <v>0.45</v>
      </c>
      <c r="F15" s="539">
        <f t="shared" si="0"/>
        <v>164.70000000000002</v>
      </c>
      <c r="G15" s="261"/>
      <c r="H15" s="261"/>
      <c r="I15" s="261"/>
      <c r="J15" s="261"/>
    </row>
    <row r="16" spans="1:11" ht="12.75" customHeight="1" thickBot="1">
      <c r="A16" s="526">
        <v>371</v>
      </c>
      <c r="B16" s="533" t="s">
        <v>229</v>
      </c>
      <c r="C16" s="535">
        <f>ROUNDUP(J16,0)</f>
        <v>92</v>
      </c>
      <c r="D16" s="529" t="s">
        <v>37</v>
      </c>
      <c r="E16" s="530">
        <v>0.35</v>
      </c>
      <c r="F16" s="531">
        <f t="shared" si="0"/>
        <v>32.199999999999996</v>
      </c>
      <c r="G16" s="261"/>
      <c r="H16" s="1047" t="s">
        <v>148</v>
      </c>
      <c r="I16" s="1048"/>
      <c r="J16" s="259">
        <f>C15*0.25</f>
        <v>91.5</v>
      </c>
      <c r="K16" s="258" t="s">
        <v>226</v>
      </c>
    </row>
    <row r="17" spans="1:10" ht="25.5">
      <c r="A17" s="526" t="s">
        <v>36</v>
      </c>
      <c r="B17" s="540" t="s">
        <v>314</v>
      </c>
      <c r="C17" s="528">
        <f>1.2*1.2*0.15</f>
        <v>0.216</v>
      </c>
      <c r="D17" s="529" t="s">
        <v>9</v>
      </c>
      <c r="E17" s="530">
        <v>353.6</v>
      </c>
      <c r="F17" s="531">
        <f t="shared" si="0"/>
        <v>76.3776</v>
      </c>
      <c r="G17" s="261"/>
      <c r="H17" s="261"/>
      <c r="I17" s="261"/>
      <c r="J17" s="261"/>
    </row>
    <row r="18" spans="1:10" ht="12.75">
      <c r="A18" s="526">
        <v>34</v>
      </c>
      <c r="B18" s="533" t="s">
        <v>223</v>
      </c>
      <c r="C18" s="535">
        <v>19</v>
      </c>
      <c r="D18" s="529" t="s">
        <v>37</v>
      </c>
      <c r="E18" s="530">
        <v>3.66</v>
      </c>
      <c r="F18" s="531">
        <f t="shared" si="0"/>
        <v>69.54</v>
      </c>
      <c r="G18" s="261"/>
      <c r="H18" s="261"/>
      <c r="I18" s="261"/>
      <c r="J18" s="261"/>
    </row>
    <row r="19" spans="1:10" ht="12.75">
      <c r="A19" s="541"/>
      <c r="B19" s="527"/>
      <c r="C19" s="542"/>
      <c r="D19" s="492"/>
      <c r="E19" s="530"/>
      <c r="F19" s="581"/>
      <c r="G19" s="261"/>
      <c r="H19" s="261"/>
      <c r="I19" s="261"/>
      <c r="J19" s="261"/>
    </row>
    <row r="20" spans="1:10" ht="12.75">
      <c r="A20" s="536"/>
      <c r="B20" s="527"/>
      <c r="C20" s="542"/>
      <c r="D20" s="492"/>
      <c r="E20" s="530"/>
      <c r="F20" s="539">
        <f t="shared" si="0"/>
        <v>0</v>
      </c>
      <c r="G20" s="261"/>
      <c r="H20" s="261"/>
      <c r="I20" s="261"/>
      <c r="J20" s="261"/>
    </row>
    <row r="21" spans="1:10" ht="12.75">
      <c r="A21" s="541"/>
      <c r="B21" s="326"/>
      <c r="C21" s="537"/>
      <c r="D21" s="326"/>
      <c r="E21" s="373"/>
      <c r="F21" s="539">
        <f t="shared" si="0"/>
        <v>0</v>
      </c>
      <c r="G21" s="261"/>
      <c r="H21" s="261"/>
      <c r="I21" s="261"/>
      <c r="J21" s="261"/>
    </row>
    <row r="22" spans="1:10" ht="12.75">
      <c r="A22" s="1056" t="s">
        <v>38</v>
      </c>
      <c r="B22" s="1057"/>
      <c r="C22" s="1057"/>
      <c r="D22" s="1057"/>
      <c r="E22" s="1057"/>
      <c r="F22" s="592">
        <f>SUM(F11:F21)</f>
        <v>628.4655799999999</v>
      </c>
      <c r="G22" s="261"/>
      <c r="H22" s="261"/>
      <c r="I22" s="261"/>
      <c r="J22" s="261"/>
    </row>
    <row r="23" spans="1:10" ht="12.75">
      <c r="A23" s="1041"/>
      <c r="B23" s="1042"/>
      <c r="C23" s="1042"/>
      <c r="D23" s="1042"/>
      <c r="E23" s="1042"/>
      <c r="F23" s="1043"/>
      <c r="G23" s="261"/>
      <c r="H23" s="261"/>
      <c r="I23" s="261"/>
      <c r="J23" s="261"/>
    </row>
    <row r="24" spans="1:10" ht="12.75">
      <c r="A24" s="541" t="s">
        <v>0</v>
      </c>
      <c r="B24" s="326" t="s">
        <v>19</v>
      </c>
      <c r="C24" s="326" t="s">
        <v>32</v>
      </c>
      <c r="D24" s="326" t="s">
        <v>33</v>
      </c>
      <c r="E24" s="326" t="s">
        <v>34</v>
      </c>
      <c r="F24" s="579" t="s">
        <v>35</v>
      </c>
      <c r="G24" s="261"/>
      <c r="H24" s="261"/>
      <c r="I24" s="261"/>
      <c r="J24" s="261"/>
    </row>
    <row r="25" spans="1:10" ht="12.75">
      <c r="A25" s="582"/>
      <c r="B25" s="375" t="s">
        <v>39</v>
      </c>
      <c r="C25" s="364">
        <v>1.1</v>
      </c>
      <c r="D25" s="376" t="s">
        <v>220</v>
      </c>
      <c r="E25" s="364">
        <v>0.78</v>
      </c>
      <c r="F25" s="583">
        <f>C25*E25</f>
        <v>0.8580000000000001</v>
      </c>
      <c r="G25" s="261" t="s">
        <v>230</v>
      </c>
      <c r="H25" s="261"/>
      <c r="I25" s="261"/>
      <c r="J25" s="261"/>
    </row>
    <row r="26" spans="1:10" ht="12.75">
      <c r="A26" s="584"/>
      <c r="B26" s="378"/>
      <c r="C26" s="379"/>
      <c r="D26" s="365"/>
      <c r="E26" s="379"/>
      <c r="F26" s="585">
        <f>C26*E26</f>
        <v>0</v>
      </c>
      <c r="G26" s="261"/>
      <c r="H26" s="261"/>
      <c r="I26" s="261"/>
      <c r="J26" s="261"/>
    </row>
    <row r="27" spans="1:10" ht="12.75">
      <c r="A27" s="346"/>
      <c r="B27" s="321"/>
      <c r="C27" s="380"/>
      <c r="D27" s="321"/>
      <c r="E27" s="380"/>
      <c r="F27" s="586">
        <f>C27*E27</f>
        <v>0</v>
      </c>
      <c r="G27" s="261"/>
      <c r="H27" s="261"/>
      <c r="I27" s="261"/>
      <c r="J27" s="261"/>
    </row>
    <row r="28" spans="1:10" ht="12.75">
      <c r="A28" s="346"/>
      <c r="B28" s="321"/>
      <c r="C28" s="380"/>
      <c r="D28" s="321"/>
      <c r="E28" s="380"/>
      <c r="F28" s="586">
        <f>C28*E28</f>
        <v>0</v>
      </c>
      <c r="G28" s="261"/>
      <c r="H28" s="261"/>
      <c r="I28" s="261"/>
      <c r="J28" s="261"/>
    </row>
    <row r="29" spans="1:10" ht="12.75">
      <c r="A29" s="587"/>
      <c r="B29" s="370"/>
      <c r="C29" s="371"/>
      <c r="D29" s="370"/>
      <c r="E29" s="371"/>
      <c r="F29" s="588">
        <f>C29*E29</f>
        <v>0</v>
      </c>
      <c r="G29" s="261"/>
      <c r="H29" s="261"/>
      <c r="I29" s="261"/>
      <c r="J29" s="261"/>
    </row>
    <row r="30" spans="1:10" ht="12.75">
      <c r="A30" s="1041" t="s">
        <v>40</v>
      </c>
      <c r="B30" s="1042"/>
      <c r="C30" s="1042"/>
      <c r="D30" s="1042"/>
      <c r="E30" s="1042"/>
      <c r="F30" s="539">
        <f>SUM(F25:F29)</f>
        <v>0.8580000000000001</v>
      </c>
      <c r="G30" s="261"/>
      <c r="H30" s="261"/>
      <c r="I30" s="261"/>
      <c r="J30" s="261"/>
    </row>
    <row r="31" spans="1:10" ht="12.75">
      <c r="A31" s="1041"/>
      <c r="B31" s="1042"/>
      <c r="C31" s="1042"/>
      <c r="D31" s="1042"/>
      <c r="E31" s="1042"/>
      <c r="F31" s="1043"/>
      <c r="G31" s="261"/>
      <c r="H31" s="261"/>
      <c r="I31" s="261"/>
      <c r="J31" s="261"/>
    </row>
    <row r="32" spans="1:10" ht="12.75">
      <c r="A32" s="541" t="s">
        <v>0</v>
      </c>
      <c r="B32" s="326" t="s">
        <v>41</v>
      </c>
      <c r="C32" s="326" t="s">
        <v>32</v>
      </c>
      <c r="D32" s="326" t="s">
        <v>33</v>
      </c>
      <c r="E32" s="326" t="s">
        <v>34</v>
      </c>
      <c r="F32" s="579" t="s">
        <v>35</v>
      </c>
      <c r="G32" s="261"/>
      <c r="H32" s="261"/>
      <c r="I32" s="261"/>
      <c r="J32" s="261"/>
    </row>
    <row r="33" spans="1:10" ht="12.75">
      <c r="A33" s="568">
        <v>6127</v>
      </c>
      <c r="B33" s="569" t="s">
        <v>42</v>
      </c>
      <c r="C33" s="373">
        <v>5</v>
      </c>
      <c r="D33" s="326" t="s">
        <v>220</v>
      </c>
      <c r="E33" s="570">
        <v>9.56</v>
      </c>
      <c r="F33" s="539">
        <f>C33*E33</f>
        <v>47.800000000000004</v>
      </c>
      <c r="G33" s="261"/>
      <c r="H33" s="261" t="s">
        <v>231</v>
      </c>
      <c r="I33" s="261" t="s">
        <v>333</v>
      </c>
      <c r="J33" s="261"/>
    </row>
    <row r="34" spans="1:10" ht="12.75">
      <c r="A34" s="568">
        <v>4750</v>
      </c>
      <c r="B34" s="569" t="s">
        <v>43</v>
      </c>
      <c r="C34" s="571">
        <v>4</v>
      </c>
      <c r="D34" s="529" t="s">
        <v>220</v>
      </c>
      <c r="E34" s="570">
        <v>11.79</v>
      </c>
      <c r="F34" s="531">
        <f>C34*E34</f>
        <v>47.16</v>
      </c>
      <c r="G34" s="261"/>
      <c r="H34" s="261" t="s">
        <v>232</v>
      </c>
      <c r="I34" s="261" t="s">
        <v>334</v>
      </c>
      <c r="J34" s="261"/>
    </row>
    <row r="35" spans="1:10" ht="12.75">
      <c r="A35" s="541"/>
      <c r="B35" s="572"/>
      <c r="C35" s="373"/>
      <c r="D35" s="326"/>
      <c r="E35" s="373"/>
      <c r="F35" s="531">
        <f>C35*E35</f>
        <v>0</v>
      </c>
      <c r="G35" s="261"/>
      <c r="H35" s="261"/>
      <c r="I35" s="261"/>
      <c r="J35" s="261"/>
    </row>
    <row r="36" spans="1:10" ht="12.75">
      <c r="A36" s="541"/>
      <c r="B36" s="572"/>
      <c r="C36" s="373"/>
      <c r="D36" s="326"/>
      <c r="E36" s="373"/>
      <c r="F36" s="531">
        <f>C36*E36</f>
        <v>0</v>
      </c>
      <c r="G36" s="261"/>
      <c r="H36" s="261"/>
      <c r="I36" s="261"/>
      <c r="J36" s="261"/>
    </row>
    <row r="37" spans="1:10" ht="12.75">
      <c r="A37" s="526"/>
      <c r="B37" s="533"/>
      <c r="C37" s="571"/>
      <c r="D37" s="529"/>
      <c r="E37" s="571"/>
      <c r="F37" s="531">
        <f>C37*E37</f>
        <v>0</v>
      </c>
      <c r="G37" s="261"/>
      <c r="H37" s="261"/>
      <c r="I37" s="261"/>
      <c r="J37" s="261"/>
    </row>
    <row r="38" spans="1:10" ht="12.75">
      <c r="A38" s="1041" t="s">
        <v>44</v>
      </c>
      <c r="B38" s="1042"/>
      <c r="C38" s="1042"/>
      <c r="D38" s="1042"/>
      <c r="E38" s="1042"/>
      <c r="F38" s="539">
        <f>SUM(F33:F37)</f>
        <v>94.96000000000001</v>
      </c>
      <c r="G38" s="261"/>
      <c r="H38" s="261"/>
      <c r="I38" s="261"/>
      <c r="J38" s="261"/>
    </row>
    <row r="39" spans="1:10" ht="12.75">
      <c r="A39" s="1041"/>
      <c r="B39" s="1042"/>
      <c r="C39" s="1042"/>
      <c r="D39" s="1042"/>
      <c r="E39" s="1042"/>
      <c r="F39" s="1043"/>
      <c r="G39" s="261"/>
      <c r="H39" s="261"/>
      <c r="I39" s="261"/>
      <c r="J39" s="261"/>
    </row>
    <row r="40" spans="1:10" ht="12.75">
      <c r="A40" s="1041" t="s">
        <v>45</v>
      </c>
      <c r="B40" s="1042"/>
      <c r="C40" s="1042"/>
      <c r="D40" s="1042"/>
      <c r="E40" s="1042"/>
      <c r="F40" s="539">
        <f>F38</f>
        <v>94.96000000000001</v>
      </c>
      <c r="G40" s="261"/>
      <c r="H40" s="261"/>
      <c r="I40" s="261"/>
      <c r="J40" s="261"/>
    </row>
    <row r="41" spans="1:10" ht="12.75">
      <c r="A41" s="1041"/>
      <c r="B41" s="1042"/>
      <c r="C41" s="1042"/>
      <c r="D41" s="1042"/>
      <c r="E41" s="1042"/>
      <c r="F41" s="1043"/>
      <c r="G41" s="261"/>
      <c r="H41" s="261"/>
      <c r="I41" s="261"/>
      <c r="J41" s="261"/>
    </row>
    <row r="42" spans="1:10" ht="12.75">
      <c r="A42" s="1041"/>
      <c r="B42" s="1042"/>
      <c r="C42" s="1042"/>
      <c r="D42" s="1042"/>
      <c r="E42" s="1042"/>
      <c r="F42" s="1043"/>
      <c r="G42" s="261"/>
      <c r="H42" s="261"/>
      <c r="I42" s="261"/>
      <c r="J42" s="261"/>
    </row>
    <row r="43" spans="1:10" ht="12.75">
      <c r="A43" s="1041" t="s">
        <v>46</v>
      </c>
      <c r="B43" s="1042"/>
      <c r="C43" s="1042"/>
      <c r="D43" s="1042"/>
      <c r="E43" s="1042"/>
      <c r="F43" s="539">
        <f>F40+F30+F22</f>
        <v>724.2835799999999</v>
      </c>
      <c r="G43" s="261"/>
      <c r="H43" s="261"/>
      <c r="I43" s="261"/>
      <c r="J43" s="261"/>
    </row>
    <row r="44" spans="1:10" ht="12.75">
      <c r="A44" s="1041"/>
      <c r="B44" s="1042"/>
      <c r="C44" s="1042"/>
      <c r="D44" s="1042"/>
      <c r="E44" s="1042"/>
      <c r="F44" s="1043"/>
      <c r="G44" s="261"/>
      <c r="H44" s="261"/>
      <c r="I44" s="261"/>
      <c r="J44" s="261"/>
    </row>
    <row r="45" spans="1:10" ht="12.75">
      <c r="A45" s="1041" t="s">
        <v>47</v>
      </c>
      <c r="B45" s="1042"/>
      <c r="C45" s="1042"/>
      <c r="D45" s="1042"/>
      <c r="E45" s="632">
        <f>'dados de entrada'!B10</f>
        <v>0.2373</v>
      </c>
      <c r="F45" s="539">
        <f>F43*E45</f>
        <v>171.872493534</v>
      </c>
      <c r="G45" s="387" t="s">
        <v>233</v>
      </c>
      <c r="H45" s="261"/>
      <c r="I45" s="261"/>
      <c r="J45" s="261"/>
    </row>
    <row r="46" spans="1:10" ht="12.75">
      <c r="A46" s="1041"/>
      <c r="B46" s="1042"/>
      <c r="C46" s="1042"/>
      <c r="D46" s="1042"/>
      <c r="E46" s="1042"/>
      <c r="F46" s="1043"/>
      <c r="G46" s="261"/>
      <c r="H46" s="261"/>
      <c r="I46" s="261"/>
      <c r="J46" s="261"/>
    </row>
    <row r="47" spans="1:10" ht="12.75">
      <c r="A47" s="1041" t="s">
        <v>48</v>
      </c>
      <c r="B47" s="1042"/>
      <c r="C47" s="1042"/>
      <c r="D47" s="1042"/>
      <c r="E47" s="1042"/>
      <c r="F47" s="539">
        <f>F43+F45</f>
        <v>896.1560735339999</v>
      </c>
      <c r="G47" s="261"/>
      <c r="H47" s="261"/>
      <c r="I47" s="261"/>
      <c r="J47" s="261"/>
    </row>
    <row r="48" spans="1:6" ht="13.5" thickBot="1">
      <c r="A48" s="1044" t="s">
        <v>433</v>
      </c>
      <c r="B48" s="1045"/>
      <c r="C48" s="1045"/>
      <c r="D48" s="1045"/>
      <c r="E48" s="1045"/>
      <c r="F48" s="1046"/>
    </row>
  </sheetData>
  <sheetProtection/>
  <mergeCells count="25">
    <mergeCell ref="C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115" zoomScaleSheetLayoutView="115" zoomScalePageLayoutView="0" workbookViewId="0" topLeftCell="A1">
      <selection activeCell="A46" sqref="A46:F46"/>
    </sheetView>
  </sheetViews>
  <sheetFormatPr defaultColWidth="9.140625" defaultRowHeight="12.75"/>
  <cols>
    <col min="1" max="1" width="10.8515625" style="258" customWidth="1"/>
    <col min="2" max="2" width="61.8515625" style="258" customWidth="1"/>
    <col min="3" max="3" width="13.421875" style="258" customWidth="1"/>
    <col min="4" max="4" width="5.8515625" style="258" bestFit="1" customWidth="1"/>
    <col min="5" max="5" width="14.57421875" style="258" customWidth="1"/>
    <col min="6" max="6" width="18.140625" style="258" customWidth="1"/>
    <col min="7" max="7" width="9.140625" style="258" customWidth="1"/>
    <col min="8" max="8" width="13.421875" style="258" customWidth="1"/>
    <col min="9" max="9" width="16.28125" style="258" customWidth="1"/>
    <col min="10" max="10" width="9.7109375" style="258" bestFit="1" customWidth="1"/>
    <col min="11" max="16384" width="9.140625" style="258" customWidth="1"/>
  </cols>
  <sheetData>
    <row r="1" spans="1:10" ht="12.75">
      <c r="A1" s="338"/>
      <c r="B1" s="573" t="s">
        <v>23</v>
      </c>
      <c r="C1" s="1060" t="str">
        <f>'dados de entrada'!B9</f>
        <v>SINAPI - 01/01/2014 - COM DESONERAÇÃO - SICRO JAN. 2014</v>
      </c>
      <c r="D1" s="1060"/>
      <c r="E1" s="1060"/>
      <c r="F1" s="1061"/>
      <c r="G1" s="261"/>
      <c r="H1" s="360"/>
      <c r="I1" s="261"/>
      <c r="J1" s="261"/>
    </row>
    <row r="2" spans="1:10" ht="12.75">
      <c r="A2" s="574" t="str">
        <f>'dados de entrada'!B15</f>
        <v>PREFEITURA MUNICIPAL DE BOMBINHAS</v>
      </c>
      <c r="B2" s="575"/>
      <c r="C2" s="263"/>
      <c r="D2" s="263"/>
      <c r="E2" s="263" t="s">
        <v>24</v>
      </c>
      <c r="F2" s="576" t="s">
        <v>25</v>
      </c>
      <c r="G2" s="261"/>
      <c r="H2" s="261"/>
      <c r="I2" s="261"/>
      <c r="J2" s="261"/>
    </row>
    <row r="3" spans="1:10" ht="12.75">
      <c r="A3" s="574" t="str">
        <f>'dados de entrada'!C19</f>
        <v>RUA ILHA DE MARAJÓ - BAIRRO QUATRO ILHAS</v>
      </c>
      <c r="B3" s="575"/>
      <c r="C3" s="263"/>
      <c r="D3" s="263"/>
      <c r="E3" s="263" t="s">
        <v>26</v>
      </c>
      <c r="F3" s="363" t="s">
        <v>432</v>
      </c>
      <c r="G3" s="261"/>
      <c r="H3" s="261"/>
      <c r="I3" s="261"/>
      <c r="J3" s="261"/>
    </row>
    <row r="4" spans="1:19" ht="12.75">
      <c r="A4" s="574" t="str">
        <f>'dados de entrada'!B8</f>
        <v>PAVIMENTAÇÃO ASFÁLTICA E DRENAGEM PLUVIAL</v>
      </c>
      <c r="B4" s="575"/>
      <c r="C4" s="263"/>
      <c r="D4" s="263"/>
      <c r="E4" s="263"/>
      <c r="F4" s="621"/>
      <c r="G4" s="263"/>
      <c r="H4" s="263"/>
      <c r="I4" s="263"/>
      <c r="J4" s="263"/>
      <c r="K4" s="622"/>
      <c r="L4" s="622"/>
      <c r="M4" s="622"/>
      <c r="N4" s="622"/>
      <c r="O4" s="622"/>
      <c r="P4" s="622"/>
      <c r="Q4" s="622"/>
      <c r="R4" s="622"/>
      <c r="S4" s="622"/>
    </row>
    <row r="5" spans="1:19" ht="12.75">
      <c r="A5" s="1051" t="s">
        <v>28</v>
      </c>
      <c r="B5" s="1052"/>
      <c r="C5" s="1052"/>
      <c r="D5" s="1052"/>
      <c r="E5" s="1052"/>
      <c r="F5" s="1053"/>
      <c r="G5" s="263"/>
      <c r="H5" s="263"/>
      <c r="I5" s="263"/>
      <c r="J5" s="263"/>
      <c r="K5" s="622"/>
      <c r="L5" s="622"/>
      <c r="M5" s="622"/>
      <c r="N5" s="622"/>
      <c r="O5" s="622"/>
      <c r="P5" s="622"/>
      <c r="Q5" s="622"/>
      <c r="R5" s="622"/>
      <c r="S5" s="622"/>
    </row>
    <row r="6" spans="1:19" ht="12.75">
      <c r="A6" s="1041"/>
      <c r="B6" s="1042"/>
      <c r="C6" s="1042"/>
      <c r="D6" s="1042"/>
      <c r="E6" s="1042"/>
      <c r="F6" s="1043"/>
      <c r="G6" s="263"/>
      <c r="H6" s="263"/>
      <c r="I6" s="263"/>
      <c r="J6" s="623"/>
      <c r="K6" s="622"/>
      <c r="L6" s="622"/>
      <c r="M6" s="622"/>
      <c r="N6" s="622"/>
      <c r="O6" s="622"/>
      <c r="P6" s="622"/>
      <c r="Q6" s="622"/>
      <c r="R6" s="622"/>
      <c r="S6" s="622"/>
    </row>
    <row r="7" spans="1:19" ht="12.75">
      <c r="A7" s="1041" t="s">
        <v>29</v>
      </c>
      <c r="B7" s="1042"/>
      <c r="C7" s="1042"/>
      <c r="D7" s="1042" t="s">
        <v>30</v>
      </c>
      <c r="E7" s="1042"/>
      <c r="F7" s="624" t="s">
        <v>13</v>
      </c>
      <c r="G7" s="263"/>
      <c r="H7" s="263"/>
      <c r="I7" s="263"/>
      <c r="J7" s="263"/>
      <c r="K7" s="622"/>
      <c r="L7" s="622"/>
      <c r="M7" s="622"/>
      <c r="N7" s="622"/>
      <c r="O7" s="622"/>
      <c r="P7" s="622"/>
      <c r="Q7" s="622"/>
      <c r="R7" s="622"/>
      <c r="S7" s="622"/>
    </row>
    <row r="8" spans="1:19" ht="12.75">
      <c r="A8" s="1054" t="s">
        <v>404</v>
      </c>
      <c r="B8" s="1055"/>
      <c r="C8" s="1055"/>
      <c r="D8" s="1042" t="s">
        <v>3</v>
      </c>
      <c r="E8" s="1042"/>
      <c r="F8" s="625">
        <f>'dados de entrada'!B3</f>
        <v>41699</v>
      </c>
      <c r="G8" s="263"/>
      <c r="H8" s="263"/>
      <c r="I8" s="263"/>
      <c r="J8" s="263"/>
      <c r="K8" s="622"/>
      <c r="L8" s="622"/>
      <c r="M8" s="622"/>
      <c r="N8" s="622"/>
      <c r="O8" s="622"/>
      <c r="P8" s="622"/>
      <c r="Q8" s="622"/>
      <c r="R8" s="622"/>
      <c r="S8" s="622"/>
    </row>
    <row r="9" spans="1:19" ht="13.5" thickBot="1">
      <c r="A9" s="1062"/>
      <c r="B9" s="1063"/>
      <c r="C9" s="1063"/>
      <c r="D9" s="1063"/>
      <c r="E9" s="1063"/>
      <c r="F9" s="1064"/>
      <c r="G9" s="263"/>
      <c r="H9" s="1065"/>
      <c r="I9" s="1066"/>
      <c r="J9" s="388"/>
      <c r="K9" s="622"/>
      <c r="L9" s="622"/>
      <c r="M9" s="622"/>
      <c r="N9" s="622"/>
      <c r="O9" s="622"/>
      <c r="P9" s="622"/>
      <c r="Q9" s="622"/>
      <c r="R9" s="622"/>
      <c r="S9" s="622"/>
    </row>
    <row r="10" spans="1:19" ht="12.75">
      <c r="A10" s="523" t="s">
        <v>0</v>
      </c>
      <c r="B10" s="524" t="s">
        <v>31</v>
      </c>
      <c r="C10" s="524" t="s">
        <v>32</v>
      </c>
      <c r="D10" s="524" t="s">
        <v>33</v>
      </c>
      <c r="E10" s="524" t="s">
        <v>34</v>
      </c>
      <c r="F10" s="525" t="s">
        <v>35</v>
      </c>
      <c r="G10" s="263"/>
      <c r="H10" s="1065"/>
      <c r="I10" s="1066"/>
      <c r="J10" s="388"/>
      <c r="K10" s="622"/>
      <c r="L10" s="622"/>
      <c r="M10" s="622"/>
      <c r="N10" s="622"/>
      <c r="O10" s="622"/>
      <c r="P10" s="622"/>
      <c r="Q10" s="622"/>
      <c r="R10" s="622"/>
      <c r="S10" s="622"/>
    </row>
    <row r="11" spans="1:19" ht="12.75">
      <c r="A11" s="526" t="s">
        <v>427</v>
      </c>
      <c r="B11" s="527" t="s">
        <v>426</v>
      </c>
      <c r="C11" s="528">
        <v>0.0604</v>
      </c>
      <c r="D11" s="529" t="s">
        <v>9</v>
      </c>
      <c r="E11" s="530">
        <v>84.3</v>
      </c>
      <c r="F11" s="531">
        <f>C11*E11</f>
        <v>5.09172</v>
      </c>
      <c r="G11" s="263"/>
      <c r="H11" s="263"/>
      <c r="I11" s="263"/>
      <c r="J11" s="263"/>
      <c r="K11" s="622"/>
      <c r="L11" s="622"/>
      <c r="M11" s="622"/>
      <c r="N11" s="622"/>
      <c r="O11" s="622"/>
      <c r="P11" s="622"/>
      <c r="Q11" s="622"/>
      <c r="R11" s="622"/>
      <c r="S11" s="622"/>
    </row>
    <row r="12" spans="1:19" ht="12.75" customHeight="1">
      <c r="A12" s="526" t="s">
        <v>425</v>
      </c>
      <c r="B12" s="527" t="s">
        <v>390</v>
      </c>
      <c r="C12" s="535">
        <v>1.05</v>
      </c>
      <c r="D12" s="529" t="s">
        <v>3</v>
      </c>
      <c r="E12" s="530">
        <v>26</v>
      </c>
      <c r="F12" s="531">
        <f>C12*E12</f>
        <v>27.3</v>
      </c>
      <c r="G12" s="263"/>
      <c r="H12" s="263"/>
      <c r="I12" s="263"/>
      <c r="J12" s="263"/>
      <c r="K12" s="622"/>
      <c r="L12" s="622"/>
      <c r="M12" s="622"/>
      <c r="N12" s="622"/>
      <c r="O12" s="622"/>
      <c r="P12" s="622"/>
      <c r="Q12" s="622"/>
      <c r="R12" s="622"/>
      <c r="S12" s="622"/>
    </row>
    <row r="13" spans="1:19" ht="12.75" customHeight="1">
      <c r="A13" s="536"/>
      <c r="B13" s="527"/>
      <c r="C13" s="537"/>
      <c r="D13" s="326"/>
      <c r="E13" s="538"/>
      <c r="F13" s="539"/>
      <c r="G13" s="263"/>
      <c r="H13" s="263"/>
      <c r="I13" s="263"/>
      <c r="J13" s="263"/>
      <c r="K13" s="622"/>
      <c r="L13" s="622"/>
      <c r="M13" s="622"/>
      <c r="N13" s="622"/>
      <c r="O13" s="622"/>
      <c r="P13" s="622"/>
      <c r="Q13" s="622"/>
      <c r="R13" s="622"/>
      <c r="S13" s="622"/>
    </row>
    <row r="14" spans="1:19" ht="12.75" customHeight="1">
      <c r="A14" s="526"/>
      <c r="B14" s="533"/>
      <c r="C14" s="535"/>
      <c r="D14" s="529"/>
      <c r="E14" s="534"/>
      <c r="F14" s="531"/>
      <c r="G14" s="263"/>
      <c r="H14" s="1065"/>
      <c r="I14" s="1066"/>
      <c r="J14" s="388"/>
      <c r="K14" s="622"/>
      <c r="L14" s="622"/>
      <c r="M14" s="622"/>
      <c r="N14" s="622"/>
      <c r="O14" s="622"/>
      <c r="P14" s="622"/>
      <c r="Q14" s="622"/>
      <c r="R14" s="622"/>
      <c r="S14" s="622"/>
    </row>
    <row r="15" spans="1:19" ht="12.75">
      <c r="A15" s="526"/>
      <c r="B15" s="540"/>
      <c r="C15" s="528"/>
      <c r="D15" s="529"/>
      <c r="E15" s="534"/>
      <c r="F15" s="531"/>
      <c r="G15" s="263"/>
      <c r="H15" s="263"/>
      <c r="I15" s="263"/>
      <c r="J15" s="263"/>
      <c r="K15" s="622"/>
      <c r="L15" s="622"/>
      <c r="M15" s="622"/>
      <c r="N15" s="622"/>
      <c r="O15" s="622"/>
      <c r="P15" s="622"/>
      <c r="Q15" s="622"/>
      <c r="R15" s="622"/>
      <c r="S15" s="622"/>
    </row>
    <row r="16" spans="1:19" ht="12.75">
      <c r="A16" s="526"/>
      <c r="B16" s="533"/>
      <c r="C16" s="535"/>
      <c r="D16" s="529"/>
      <c r="E16" s="534"/>
      <c r="F16" s="531"/>
      <c r="G16" s="263"/>
      <c r="H16" s="263"/>
      <c r="I16" s="263"/>
      <c r="J16" s="263"/>
      <c r="K16" s="622"/>
      <c r="L16" s="622"/>
      <c r="M16" s="622"/>
      <c r="N16" s="622"/>
      <c r="O16" s="622"/>
      <c r="P16" s="622"/>
      <c r="Q16" s="622"/>
      <c r="R16" s="622"/>
      <c r="S16" s="622"/>
    </row>
    <row r="17" spans="1:19" ht="12.75">
      <c r="A17" s="541"/>
      <c r="B17" s="527"/>
      <c r="C17" s="542"/>
      <c r="D17" s="492"/>
      <c r="E17" s="530"/>
      <c r="F17" s="531"/>
      <c r="G17" s="263"/>
      <c r="H17" s="263"/>
      <c r="I17" s="263"/>
      <c r="J17" s="263"/>
      <c r="K17" s="622"/>
      <c r="L17" s="622"/>
      <c r="M17" s="622"/>
      <c r="N17" s="622"/>
      <c r="O17" s="622"/>
      <c r="P17" s="622"/>
      <c r="Q17" s="622"/>
      <c r="R17" s="622"/>
      <c r="S17" s="622"/>
    </row>
    <row r="18" spans="1:19" ht="12.75">
      <c r="A18" s="536"/>
      <c r="B18" s="527"/>
      <c r="C18" s="542"/>
      <c r="D18" s="492"/>
      <c r="E18" s="530"/>
      <c r="F18" s="539"/>
      <c r="G18" s="263"/>
      <c r="H18" s="263"/>
      <c r="I18" s="263"/>
      <c r="J18" s="263"/>
      <c r="K18" s="622"/>
      <c r="L18" s="622"/>
      <c r="M18" s="622"/>
      <c r="N18" s="622"/>
      <c r="O18" s="622"/>
      <c r="P18" s="622"/>
      <c r="Q18" s="622"/>
      <c r="R18" s="622"/>
      <c r="S18" s="622"/>
    </row>
    <row r="19" spans="1:19" ht="12.75">
      <c r="A19" s="541"/>
      <c r="B19" s="326"/>
      <c r="C19" s="537"/>
      <c r="D19" s="326"/>
      <c r="E19" s="373"/>
      <c r="F19" s="539"/>
      <c r="G19" s="263"/>
      <c r="H19" s="263"/>
      <c r="I19" s="263"/>
      <c r="J19" s="263"/>
      <c r="K19" s="622"/>
      <c r="L19" s="622"/>
      <c r="M19" s="622"/>
      <c r="N19" s="622"/>
      <c r="O19" s="622"/>
      <c r="P19" s="622"/>
      <c r="Q19" s="622"/>
      <c r="R19" s="622"/>
      <c r="S19" s="622"/>
    </row>
    <row r="20" spans="1:19" ht="12.75">
      <c r="A20" s="1041" t="s">
        <v>38</v>
      </c>
      <c r="B20" s="1042"/>
      <c r="C20" s="1042"/>
      <c r="D20" s="1042"/>
      <c r="E20" s="1042"/>
      <c r="F20" s="539">
        <f>SUM(F11:F19)</f>
        <v>32.39172</v>
      </c>
      <c r="G20" s="263"/>
      <c r="H20" s="263"/>
      <c r="I20" s="263"/>
      <c r="J20" s="263"/>
      <c r="K20" s="622"/>
      <c r="L20" s="622"/>
      <c r="M20" s="622"/>
      <c r="N20" s="622"/>
      <c r="O20" s="622"/>
      <c r="P20" s="622"/>
      <c r="Q20" s="622"/>
      <c r="R20" s="622"/>
      <c r="S20" s="622"/>
    </row>
    <row r="21" spans="1:19" ht="13.5" thickBot="1">
      <c r="A21" s="1067"/>
      <c r="B21" s="1068"/>
      <c r="C21" s="1068"/>
      <c r="D21" s="1068"/>
      <c r="E21" s="1068"/>
      <c r="F21" s="1069"/>
      <c r="G21" s="263"/>
      <c r="H21" s="263"/>
      <c r="I21" s="263"/>
      <c r="J21" s="263"/>
      <c r="K21" s="622"/>
      <c r="L21" s="622"/>
      <c r="M21" s="622"/>
      <c r="N21" s="622"/>
      <c r="O21" s="622"/>
      <c r="P21" s="622"/>
      <c r="Q21" s="622"/>
      <c r="R21" s="622"/>
      <c r="S21" s="622"/>
    </row>
    <row r="22" spans="1:10" ht="12.75">
      <c r="A22" s="626" t="s">
        <v>0</v>
      </c>
      <c r="B22" s="316" t="s">
        <v>19</v>
      </c>
      <c r="C22" s="316" t="s">
        <v>32</v>
      </c>
      <c r="D22" s="316" t="s">
        <v>33</v>
      </c>
      <c r="E22" s="316" t="s">
        <v>34</v>
      </c>
      <c r="F22" s="627" t="s">
        <v>35</v>
      </c>
      <c r="G22" s="261"/>
      <c r="H22" s="261"/>
      <c r="I22" s="261"/>
      <c r="J22" s="261"/>
    </row>
    <row r="23" spans="1:10" ht="12.75">
      <c r="A23" s="582"/>
      <c r="B23" s="375"/>
      <c r="C23" s="364"/>
      <c r="D23" s="376"/>
      <c r="E23" s="364"/>
      <c r="F23" s="583"/>
      <c r="G23" s="261"/>
      <c r="H23" s="261"/>
      <c r="I23" s="261"/>
      <c r="J23" s="261"/>
    </row>
    <row r="24" spans="1:10" ht="12.75">
      <c r="A24" s="584"/>
      <c r="B24" s="378"/>
      <c r="C24" s="379"/>
      <c r="D24" s="365"/>
      <c r="E24" s="379"/>
      <c r="F24" s="585"/>
      <c r="G24" s="261"/>
      <c r="H24" s="261"/>
      <c r="I24" s="261"/>
      <c r="J24" s="261"/>
    </row>
    <row r="25" spans="1:10" ht="12.75">
      <c r="A25" s="346"/>
      <c r="B25" s="321"/>
      <c r="C25" s="380"/>
      <c r="D25" s="321"/>
      <c r="E25" s="380"/>
      <c r="F25" s="586"/>
      <c r="G25" s="261"/>
      <c r="H25" s="261"/>
      <c r="I25" s="261"/>
      <c r="J25" s="261"/>
    </row>
    <row r="26" spans="1:10" ht="12.75">
      <c r="A26" s="346"/>
      <c r="B26" s="321"/>
      <c r="C26" s="380"/>
      <c r="D26" s="321"/>
      <c r="E26" s="380"/>
      <c r="F26" s="586"/>
      <c r="G26" s="261"/>
      <c r="H26" s="261"/>
      <c r="I26" s="261"/>
      <c r="J26" s="261"/>
    </row>
    <row r="27" spans="1:10" ht="12.75">
      <c r="A27" s="587"/>
      <c r="B27" s="370"/>
      <c r="C27" s="371"/>
      <c r="D27" s="370"/>
      <c r="E27" s="371"/>
      <c r="F27" s="588"/>
      <c r="G27" s="261"/>
      <c r="H27" s="261"/>
      <c r="I27" s="261"/>
      <c r="J27" s="261"/>
    </row>
    <row r="28" spans="1:10" ht="12.75">
      <c r="A28" s="1041" t="s">
        <v>40</v>
      </c>
      <c r="B28" s="1042"/>
      <c r="C28" s="1042"/>
      <c r="D28" s="1042"/>
      <c r="E28" s="1042"/>
      <c r="F28" s="539">
        <f>SUM(F23:F27)</f>
        <v>0</v>
      </c>
      <c r="G28" s="261"/>
      <c r="H28" s="261"/>
      <c r="I28" s="261"/>
      <c r="J28" s="261"/>
    </row>
    <row r="29" spans="1:10" ht="13.5" thickBot="1">
      <c r="A29" s="1062"/>
      <c r="B29" s="1063"/>
      <c r="C29" s="1063"/>
      <c r="D29" s="1063"/>
      <c r="E29" s="1063"/>
      <c r="F29" s="1064"/>
      <c r="G29" s="261"/>
      <c r="H29" s="261"/>
      <c r="I29" s="261"/>
      <c r="J29" s="261"/>
    </row>
    <row r="30" spans="1:10" ht="12.75">
      <c r="A30" s="523" t="s">
        <v>0</v>
      </c>
      <c r="B30" s="524" t="s">
        <v>41</v>
      </c>
      <c r="C30" s="524" t="s">
        <v>32</v>
      </c>
      <c r="D30" s="524" t="s">
        <v>33</v>
      </c>
      <c r="E30" s="524" t="s">
        <v>34</v>
      </c>
      <c r="F30" s="525" t="s">
        <v>35</v>
      </c>
      <c r="G30" s="261"/>
      <c r="H30" s="261"/>
      <c r="I30" s="261"/>
      <c r="J30" s="261"/>
    </row>
    <row r="31" spans="1:10" ht="12.75">
      <c r="A31" s="532">
        <v>6111</v>
      </c>
      <c r="B31" s="533" t="s">
        <v>406</v>
      </c>
      <c r="C31" s="528">
        <v>0.35</v>
      </c>
      <c r="D31" s="529" t="s">
        <v>220</v>
      </c>
      <c r="E31" s="530">
        <v>8.83</v>
      </c>
      <c r="F31" s="539">
        <f>E31*C31</f>
        <v>3.0905</v>
      </c>
      <c r="G31" s="261"/>
      <c r="H31" s="261"/>
      <c r="I31" s="261"/>
      <c r="J31" s="261"/>
    </row>
    <row r="32" spans="1:10" ht="12.75">
      <c r="A32" s="526">
        <v>4750</v>
      </c>
      <c r="B32" s="533" t="s">
        <v>43</v>
      </c>
      <c r="C32" s="528">
        <v>0.16</v>
      </c>
      <c r="D32" s="529" t="s">
        <v>220</v>
      </c>
      <c r="E32" s="530">
        <v>11.79</v>
      </c>
      <c r="F32" s="539">
        <f>E32*C32</f>
        <v>1.8863999999999999</v>
      </c>
      <c r="G32" s="261"/>
      <c r="H32" s="261"/>
      <c r="I32" s="261"/>
      <c r="J32" s="261"/>
    </row>
    <row r="33" spans="1:10" ht="12.75">
      <c r="A33" s="541"/>
      <c r="B33" s="572"/>
      <c r="C33" s="373"/>
      <c r="D33" s="326"/>
      <c r="E33" s="373"/>
      <c r="F33" s="531">
        <f>C33*E33</f>
        <v>0</v>
      </c>
      <c r="G33" s="261"/>
      <c r="H33" s="261"/>
      <c r="I33" s="261"/>
      <c r="J33" s="261"/>
    </row>
    <row r="34" spans="1:10" ht="12.75">
      <c r="A34" s="541"/>
      <c r="B34" s="572"/>
      <c r="C34" s="373"/>
      <c r="D34" s="326"/>
      <c r="E34" s="373"/>
      <c r="F34" s="531">
        <f>C34*E34</f>
        <v>0</v>
      </c>
      <c r="G34" s="261"/>
      <c r="H34" s="261"/>
      <c r="I34" s="261"/>
      <c r="J34" s="261"/>
    </row>
    <row r="35" spans="1:10" ht="12.75">
      <c r="A35" s="526"/>
      <c r="B35" s="533"/>
      <c r="C35" s="571"/>
      <c r="D35" s="529"/>
      <c r="E35" s="571"/>
      <c r="F35" s="531">
        <f>C35*E35</f>
        <v>0</v>
      </c>
      <c r="G35" s="261"/>
      <c r="H35" s="261"/>
      <c r="I35" s="261"/>
      <c r="J35" s="261"/>
    </row>
    <row r="36" spans="1:10" ht="13.5" thickBot="1">
      <c r="A36" s="1067" t="s">
        <v>44</v>
      </c>
      <c r="B36" s="1068"/>
      <c r="C36" s="1068"/>
      <c r="D36" s="1068"/>
      <c r="E36" s="1068"/>
      <c r="F36" s="589">
        <f>SUM(F31:F35)</f>
        <v>4.9769</v>
      </c>
      <c r="G36" s="261"/>
      <c r="H36" s="261"/>
      <c r="I36" s="261"/>
      <c r="J36" s="261"/>
    </row>
    <row r="37" spans="1:10" ht="12.75">
      <c r="A37" s="1056"/>
      <c r="B37" s="1057"/>
      <c r="C37" s="1057"/>
      <c r="D37" s="1057"/>
      <c r="E37" s="1057"/>
      <c r="F37" s="1070"/>
      <c r="G37" s="261"/>
      <c r="H37" s="261"/>
      <c r="I37" s="261"/>
      <c r="J37" s="261"/>
    </row>
    <row r="38" spans="1:10" ht="12.75">
      <c r="A38" s="1041" t="s">
        <v>45</v>
      </c>
      <c r="B38" s="1042"/>
      <c r="C38" s="1042"/>
      <c r="D38" s="1042"/>
      <c r="E38" s="1042"/>
      <c r="F38" s="539">
        <f>F36</f>
        <v>4.9769</v>
      </c>
      <c r="G38" s="261"/>
      <c r="H38" s="261"/>
      <c r="I38" s="261"/>
      <c r="J38" s="261"/>
    </row>
    <row r="39" spans="1:10" ht="12.75">
      <c r="A39" s="1041"/>
      <c r="B39" s="1042"/>
      <c r="C39" s="1042"/>
      <c r="D39" s="1042"/>
      <c r="E39" s="1042"/>
      <c r="F39" s="1043"/>
      <c r="G39" s="261"/>
      <c r="H39" s="261"/>
      <c r="I39" s="261"/>
      <c r="J39" s="261"/>
    </row>
    <row r="40" spans="1:10" ht="12.75">
      <c r="A40" s="1041"/>
      <c r="B40" s="1042"/>
      <c r="C40" s="1042"/>
      <c r="D40" s="1042"/>
      <c r="E40" s="1042"/>
      <c r="F40" s="1043"/>
      <c r="G40" s="261"/>
      <c r="H40" s="261"/>
      <c r="I40" s="261"/>
      <c r="J40" s="261"/>
    </row>
    <row r="41" spans="1:10" ht="12.75">
      <c r="A41" s="1041" t="s">
        <v>46</v>
      </c>
      <c r="B41" s="1042"/>
      <c r="C41" s="1042"/>
      <c r="D41" s="1042"/>
      <c r="E41" s="1042"/>
      <c r="F41" s="539">
        <f>F38+F28+F20</f>
        <v>37.36862</v>
      </c>
      <c r="G41" s="261"/>
      <c r="H41" s="261"/>
      <c r="I41" s="261"/>
      <c r="J41" s="261"/>
    </row>
    <row r="42" spans="1:10" ht="12.75">
      <c r="A42" s="1041"/>
      <c r="B42" s="1042"/>
      <c r="C42" s="1042"/>
      <c r="D42" s="1042"/>
      <c r="E42" s="1042"/>
      <c r="F42" s="1043"/>
      <c r="G42" s="261"/>
      <c r="H42" s="261"/>
      <c r="I42" s="261"/>
      <c r="J42" s="261"/>
    </row>
    <row r="43" spans="1:10" ht="12.75">
      <c r="A43" s="1041" t="s">
        <v>47</v>
      </c>
      <c r="B43" s="1042"/>
      <c r="C43" s="1042"/>
      <c r="D43" s="1042"/>
      <c r="E43" s="543">
        <f>'dados de entrada'!B10</f>
        <v>0.2373</v>
      </c>
      <c r="F43" s="539">
        <f>F41*E43</f>
        <v>8.867573526000001</v>
      </c>
      <c r="G43" s="387"/>
      <c r="H43" s="261"/>
      <c r="I43" s="261"/>
      <c r="J43" s="261"/>
    </row>
    <row r="44" spans="1:10" ht="12.75">
      <c r="A44" s="1041"/>
      <c r="B44" s="1042"/>
      <c r="C44" s="1042"/>
      <c r="D44" s="1042"/>
      <c r="E44" s="1042"/>
      <c r="F44" s="1043"/>
      <c r="G44" s="261"/>
      <c r="H44" s="261"/>
      <c r="I44" s="261"/>
      <c r="J44" s="261"/>
    </row>
    <row r="45" spans="1:10" ht="12.75">
      <c r="A45" s="1041" t="s">
        <v>48</v>
      </c>
      <c r="B45" s="1042"/>
      <c r="C45" s="1042"/>
      <c r="D45" s="1042"/>
      <c r="E45" s="1042"/>
      <c r="F45" s="539">
        <f>F41+F43</f>
        <v>46.236193526</v>
      </c>
      <c r="G45" s="261"/>
      <c r="H45" s="261"/>
      <c r="I45" s="261"/>
      <c r="J45" s="261"/>
    </row>
    <row r="46" spans="1:6" ht="13.5" thickBot="1">
      <c r="A46" s="1044" t="s">
        <v>433</v>
      </c>
      <c r="B46" s="1045"/>
      <c r="C46" s="1045"/>
      <c r="D46" s="1045"/>
      <c r="E46" s="1045"/>
      <c r="F46" s="1046"/>
    </row>
  </sheetData>
  <sheetProtection/>
  <mergeCells count="25">
    <mergeCell ref="A41:E41"/>
    <mergeCell ref="A42:F42"/>
    <mergeCell ref="A43:D43"/>
    <mergeCell ref="A44:F44"/>
    <mergeCell ref="A45:E45"/>
    <mergeCell ref="A46:F46"/>
    <mergeCell ref="A28:E28"/>
    <mergeCell ref="A29:F29"/>
    <mergeCell ref="A36:E36"/>
    <mergeCell ref="A37:F37"/>
    <mergeCell ref="A38:E38"/>
    <mergeCell ref="A39:F40"/>
    <mergeCell ref="A9:F9"/>
    <mergeCell ref="H9:I9"/>
    <mergeCell ref="H10:I10"/>
    <mergeCell ref="H14:I14"/>
    <mergeCell ref="A20:E20"/>
    <mergeCell ref="A21:F21"/>
    <mergeCell ref="C1:F1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carlos</cp:lastModifiedBy>
  <cp:lastPrinted>2014-05-28T14:46:43Z</cp:lastPrinted>
  <dcterms:created xsi:type="dcterms:W3CDTF">2004-02-08T00:22:30Z</dcterms:created>
  <dcterms:modified xsi:type="dcterms:W3CDTF">2014-05-28T15:32:58Z</dcterms:modified>
  <cp:category/>
  <cp:version/>
  <cp:contentType/>
  <cp:contentStatus/>
</cp:coreProperties>
</file>